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45" yWindow="65521" windowWidth="7545" windowHeight="8790" tabRatio="785" activeTab="0"/>
  </bookViews>
  <sheets>
    <sheet name="184 дома на 01.01.2016год" sheetId="1" r:id="rId1"/>
  </sheets>
  <definedNames>
    <definedName name="_xlnm.Print_Titles" localSheetId="0">'184 дома на 01.01.2016год'!$11:$14</definedName>
    <definedName name="_xlnm.Print_Area" localSheetId="0">'184 дома на 01.01.2016год'!$A$1:$AB$239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O1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приб.(коррект.),кв.</t>
        </r>
        <r>
          <rPr>
            <sz val="8"/>
            <color indexed="10"/>
            <rFont val="Tahoma"/>
            <family val="2"/>
          </rPr>
          <t>80</t>
        </r>
        <r>
          <rPr>
            <sz val="8"/>
            <rFont val="Tahoma"/>
            <family val="2"/>
          </rPr>
          <t>- 0,40 м2; апрель2010;</t>
        </r>
      </text>
    </comment>
    <comment ref="P1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приб.(коррект.),кв.</t>
        </r>
        <r>
          <rPr>
            <sz val="8"/>
            <color indexed="10"/>
            <rFont val="Tahoma"/>
            <family val="2"/>
          </rPr>
          <t>80</t>
        </r>
        <r>
          <rPr>
            <sz val="8"/>
            <rFont val="Tahoma"/>
            <family val="2"/>
          </rPr>
          <t>- 0,40 м2; апрель2010;</t>
        </r>
      </text>
    </comment>
    <comment ref="O1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Как у Пимоненковой
</t>
        </r>
      </text>
    </comment>
    <comment ref="O1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Как у Пимоненковой
приб.(коррект.),кв.</t>
        </r>
        <r>
          <rPr>
            <sz val="8"/>
            <color indexed="10"/>
            <rFont val="Tahoma"/>
            <family val="2"/>
          </rPr>
          <t>108</t>
        </r>
        <r>
          <rPr>
            <sz val="8"/>
            <rFont val="Tahoma"/>
            <family val="2"/>
          </rPr>
          <t>- 1,20 м2; октябрь2009;</t>
        </r>
      </text>
    </comment>
    <comment ref="P1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приб.(коррект.),кв.</t>
        </r>
        <r>
          <rPr>
            <sz val="8"/>
            <color indexed="10"/>
            <rFont val="Tahoma"/>
            <family val="2"/>
          </rPr>
          <t>108</t>
        </r>
        <r>
          <rPr>
            <sz val="8"/>
            <rFont val="Tahoma"/>
            <family val="2"/>
          </rPr>
          <t>- 0,20 м2; октябрь2009;</t>
        </r>
      </text>
    </comment>
    <comment ref="O2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Как у Пимоненковой
</t>
        </r>
      </text>
    </comment>
    <comment ref="O2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Как у Пимоненковой
</t>
        </r>
      </text>
    </comment>
    <comment ref="O2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Как у Пимоненковой
</t>
        </r>
      </text>
    </comment>
    <comment ref="O2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Как у Пимоненковой
</t>
        </r>
      </text>
    </comment>
    <comment ref="O2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Как у Пимоненковой
</t>
        </r>
      </text>
    </comment>
    <comment ref="O2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Как у пимоненковой
</t>
        </r>
      </text>
    </comment>
    <comment ref="O3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Как у Пимоненковой
</t>
        </r>
      </text>
    </comment>
    <comment ref="O3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Как у Пимоненковой
</t>
        </r>
      </text>
    </comment>
    <comment ref="O3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Идет с тех.паспортом.
убыт.(коррект.),кв.</t>
        </r>
        <r>
          <rPr>
            <sz val="8"/>
            <color indexed="10"/>
            <rFont val="Tahoma"/>
            <family val="2"/>
          </rPr>
          <t>14</t>
        </r>
        <r>
          <rPr>
            <sz val="8"/>
            <rFont val="Tahoma"/>
            <family val="2"/>
          </rPr>
          <t>- 1,40 м2; октябрь2009;</t>
        </r>
      </text>
    </comment>
    <comment ref="P3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убыт.(коррект.),кв.</t>
        </r>
        <r>
          <rPr>
            <sz val="8"/>
            <color indexed="10"/>
            <rFont val="Tahoma"/>
            <family val="2"/>
          </rPr>
          <t>14</t>
        </r>
        <r>
          <rPr>
            <sz val="8"/>
            <rFont val="Tahoma"/>
            <family val="2"/>
          </rPr>
          <t>- 1,40 м2; октябрь2009;</t>
        </r>
      </text>
    </comment>
    <comment ref="O3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убыт.(коррект.),кв.</t>
        </r>
        <r>
          <rPr>
            <sz val="8"/>
            <color indexed="10"/>
            <rFont val="Tahoma"/>
            <family val="2"/>
          </rPr>
          <t>6</t>
        </r>
        <r>
          <rPr>
            <sz val="8"/>
            <rFont val="Tahoma"/>
            <family val="2"/>
          </rPr>
          <t>- 1,30м2; январь2010г</t>
        </r>
      </text>
    </comment>
    <comment ref="P3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убыт.(коррект.),кв.</t>
        </r>
        <r>
          <rPr>
            <sz val="8"/>
            <color indexed="10"/>
            <rFont val="Tahoma"/>
            <family val="2"/>
          </rPr>
          <t>6</t>
        </r>
        <r>
          <rPr>
            <sz val="8"/>
            <rFont val="Tahoma"/>
            <family val="2"/>
          </rPr>
          <t>- 0,80м2; январь2010г;</t>
        </r>
      </text>
    </comment>
    <comment ref="O5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убыт.(коррект.),кв.</t>
        </r>
        <r>
          <rPr>
            <sz val="8"/>
            <color indexed="10"/>
            <rFont val="Tahoma"/>
            <family val="2"/>
          </rPr>
          <t>3</t>
        </r>
        <r>
          <rPr>
            <sz val="8"/>
            <rFont val="Tahoma"/>
            <family val="2"/>
          </rPr>
          <t>- 0,90 м2; декабрь2009;</t>
        </r>
      </text>
    </comment>
    <comment ref="P5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убыт.(коррект.),кв.</t>
        </r>
        <r>
          <rPr>
            <sz val="8"/>
            <color indexed="10"/>
            <rFont val="Tahoma"/>
            <family val="2"/>
          </rPr>
          <t>3</t>
        </r>
        <r>
          <rPr>
            <sz val="8"/>
            <rFont val="Tahoma"/>
            <family val="2"/>
          </rPr>
          <t>- 0,40 м2; декабрь2009;</t>
        </r>
      </text>
    </comment>
    <comment ref="O7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Как у Пимоненковой
убыт.(коррект.),кв.</t>
        </r>
        <r>
          <rPr>
            <sz val="8"/>
            <color indexed="10"/>
            <rFont val="Tahoma"/>
            <family val="2"/>
          </rPr>
          <t>21</t>
        </r>
        <r>
          <rPr>
            <sz val="8"/>
            <rFont val="Tahoma"/>
            <family val="2"/>
          </rPr>
          <t>- 1,10 м2; декабрь2009;</t>
        </r>
      </text>
    </comment>
    <comment ref="P7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убыт.(коррект.),кв.</t>
        </r>
        <r>
          <rPr>
            <sz val="8"/>
            <color indexed="10"/>
            <rFont val="Tahoma"/>
            <family val="2"/>
          </rPr>
          <t>21</t>
        </r>
        <r>
          <rPr>
            <sz val="8"/>
            <rFont val="Tahoma"/>
            <family val="2"/>
          </rPr>
          <t>- 0,60 м2; декабрь2009;</t>
        </r>
      </text>
    </comment>
    <comment ref="O7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убыт.(коррект.),кв.15- 1,40м2; январь2010г.</t>
        </r>
      </text>
    </comment>
    <comment ref="P7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убыт.(коррект.),кв.15- 2,00м2; январь2010г.</t>
        </r>
      </text>
    </comment>
    <comment ref="O7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Как у Пимоненковой
</t>
        </r>
      </text>
    </comment>
    <comment ref="O7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Как у Пимоненковой
</t>
        </r>
      </text>
    </comment>
    <comment ref="O8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Как у Пимоненковой
Вывод из аренды кв.</t>
        </r>
        <r>
          <rPr>
            <sz val="8"/>
            <color indexed="10"/>
            <rFont val="Tahoma"/>
            <family val="2"/>
          </rPr>
          <t>28</t>
        </r>
        <r>
          <rPr>
            <sz val="8"/>
            <rFont val="Tahoma"/>
            <family val="2"/>
          </rPr>
          <t>- 52,8(октябрь),в декабре2009г.</t>
        </r>
      </text>
    </comment>
    <comment ref="O9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убыт.(коррект.),кв.</t>
        </r>
        <r>
          <rPr>
            <sz val="8"/>
            <color indexed="10"/>
            <rFont val="Tahoma"/>
            <family val="2"/>
          </rPr>
          <t>13</t>
        </r>
        <r>
          <rPr>
            <sz val="8"/>
            <rFont val="Tahoma"/>
            <family val="2"/>
          </rPr>
          <t>- 3,10 м2; октябрь2009;</t>
        </r>
      </text>
    </comment>
    <comment ref="P9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убыт.(коррект.),кв.</t>
        </r>
        <r>
          <rPr>
            <sz val="8"/>
            <color indexed="10"/>
            <rFont val="Tahoma"/>
            <family val="2"/>
          </rPr>
          <t>13</t>
        </r>
        <r>
          <rPr>
            <sz val="8"/>
            <rFont val="Tahoma"/>
            <family val="2"/>
          </rPr>
          <t>- 0,90 м2; октябрь2009;</t>
        </r>
      </text>
    </comment>
    <comment ref="O9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Как у Пимоненковой
убыт.(коррект.),кв.</t>
        </r>
        <r>
          <rPr>
            <sz val="8"/>
            <color indexed="10"/>
            <rFont val="Tahoma"/>
            <family val="2"/>
          </rPr>
          <t>1</t>
        </r>
        <r>
          <rPr>
            <sz val="8"/>
            <rFont val="Tahoma"/>
            <family val="2"/>
          </rPr>
          <t>- 2,10 м2; октябрь2009;
убыт.(коррект.),кв.</t>
        </r>
        <r>
          <rPr>
            <sz val="8"/>
            <color indexed="10"/>
            <rFont val="Tahoma"/>
            <family val="2"/>
          </rPr>
          <t>5</t>
        </r>
        <r>
          <rPr>
            <sz val="8"/>
            <rFont val="Tahoma"/>
            <family val="2"/>
          </rPr>
          <t>- 0,70 м2; апрель2010;</t>
        </r>
      </text>
    </comment>
    <comment ref="P9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убыт.(коррект.),кв.</t>
        </r>
        <r>
          <rPr>
            <sz val="8"/>
            <color indexed="10"/>
            <rFont val="Tahoma"/>
            <family val="2"/>
          </rPr>
          <t>1</t>
        </r>
        <r>
          <rPr>
            <sz val="8"/>
            <rFont val="Tahoma"/>
            <family val="2"/>
          </rPr>
          <t>- 1,50 м2; октябрь2009;
убыт.(коррект.),кв.</t>
        </r>
        <r>
          <rPr>
            <sz val="8"/>
            <color indexed="10"/>
            <rFont val="Tahoma"/>
            <family val="2"/>
          </rPr>
          <t>5</t>
        </r>
        <r>
          <rPr>
            <sz val="8"/>
            <rFont val="Tahoma"/>
            <family val="2"/>
          </rPr>
          <t>- 0,30 м2; апрель2010;</t>
        </r>
      </text>
    </comment>
    <comment ref="O9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Как у Пимоненковой</t>
        </r>
      </text>
    </comment>
    <comment ref="O9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Как у Пимоненковой</t>
        </r>
      </text>
    </comment>
    <comment ref="O9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Как у Пимоненковой</t>
        </r>
      </text>
    </comment>
    <comment ref="O9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кв.11 ушла в ООО"НГК"-52,7 м2.
приб.(коррект.),кв.</t>
        </r>
        <r>
          <rPr>
            <sz val="8"/>
            <color indexed="10"/>
            <rFont val="Tahoma"/>
            <family val="2"/>
          </rPr>
          <t>50</t>
        </r>
        <r>
          <rPr>
            <sz val="8"/>
            <rFont val="Tahoma"/>
            <family val="2"/>
          </rPr>
          <t>- 0,70м2; октябрь2009;
убыт.(коррект.),кв.</t>
        </r>
        <r>
          <rPr>
            <sz val="8"/>
            <color indexed="10"/>
            <rFont val="Tahoma"/>
            <family val="2"/>
          </rPr>
          <t>3</t>
        </r>
        <r>
          <rPr>
            <sz val="8"/>
            <rFont val="Tahoma"/>
            <family val="2"/>
          </rPr>
          <t>- 3,30м2; октябрь2009;</t>
        </r>
      </text>
    </comment>
    <comment ref="P9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кв.11 ушла в ООО"НГК"-11,3 м2.
коррект.,кв.</t>
        </r>
        <r>
          <rPr>
            <sz val="8"/>
            <color indexed="10"/>
            <rFont val="Tahoma"/>
            <family val="2"/>
          </rPr>
          <t>50</t>
        </r>
        <r>
          <rPr>
            <sz val="8"/>
            <rFont val="Tahoma"/>
            <family val="2"/>
          </rPr>
          <t>- 0,30м2; октябрь2009;</t>
        </r>
      </text>
    </comment>
    <comment ref="O10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Как у Пимоненковой</t>
        </r>
      </text>
    </comment>
    <comment ref="O10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Как у Пимоненковой
убыт.(коррект.),кв.</t>
        </r>
        <r>
          <rPr>
            <sz val="8"/>
            <color indexed="10"/>
            <rFont val="Tahoma"/>
            <family val="2"/>
          </rPr>
          <t>48</t>
        </r>
        <r>
          <rPr>
            <sz val="8"/>
            <rFont val="Tahoma"/>
            <family val="2"/>
          </rPr>
          <t>- 5,20 м2; ноябрь2009;</t>
        </r>
      </text>
    </comment>
    <comment ref="O10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убыт.(коррект.),кв.</t>
        </r>
        <r>
          <rPr>
            <sz val="8"/>
            <color indexed="10"/>
            <rFont val="Tahoma"/>
            <family val="2"/>
          </rPr>
          <t>36</t>
        </r>
        <r>
          <rPr>
            <sz val="8"/>
            <rFont val="Tahoma"/>
            <family val="2"/>
          </rPr>
          <t>- 2,10м2; январь2010;</t>
        </r>
      </text>
    </comment>
    <comment ref="O10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убыт.(коррект.),кв.</t>
        </r>
        <r>
          <rPr>
            <sz val="8"/>
            <color indexed="10"/>
            <rFont val="Tahoma"/>
            <family val="2"/>
          </rPr>
          <t>10</t>
        </r>
        <r>
          <rPr>
            <sz val="8"/>
            <rFont val="Tahoma"/>
            <family val="2"/>
          </rPr>
          <t>- 0,90м2; октябрь2009;</t>
        </r>
      </text>
    </comment>
    <comment ref="P10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убыт.(коррект.),кв.</t>
        </r>
        <r>
          <rPr>
            <sz val="8"/>
            <color indexed="10"/>
            <rFont val="Tahoma"/>
            <family val="2"/>
          </rPr>
          <t>10</t>
        </r>
        <r>
          <rPr>
            <sz val="8"/>
            <rFont val="Tahoma"/>
            <family val="2"/>
          </rPr>
          <t>- 0,60м2; октябрь2009;</t>
        </r>
      </text>
    </comment>
    <comment ref="O10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кв.№28 (94,2м2) откр. л/сч в отчете договорников НЖСК 416,9 м2
кв.№29(49,1м2)-вывод из аренды,откр.л/с.
Кв.№26(95,2м2)-вывод из аренды,откр.л/с 15.07.09г.
</t>
        </r>
        <r>
          <rPr>
            <sz val="8"/>
            <color indexed="10"/>
            <rFont val="Tahoma"/>
            <family val="2"/>
          </rPr>
          <t>КВ.№27(47,7м2)-вывод из аренды в 2005г.,не убрана ОУЖФ.</t>
        </r>
      </text>
    </comment>
    <comment ref="P10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кв№29(жилая21,4м2)-вывод из аренды,откр.л/с.
Кв.№26(жилая51,4м2)-вывод из аренды 15.07.09г.
</t>
        </r>
        <r>
          <rPr>
            <sz val="8"/>
            <color indexed="10"/>
            <rFont val="Tahoma"/>
            <family val="2"/>
          </rPr>
          <t>Кв.№27(жилая21,4м2)-вывод из аренды в 2005г.Не убрана ОУЖФ.</t>
        </r>
      </text>
    </comment>
    <comment ref="Q10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кв.№28 (94,2м2) откр. л/сч в отчете договорников НЖСК 416,9 м2
кв.№29(49,1м2)-вывод из аренды,откр.л/с.
Кв.№26(95,2м2)-вывод из аренды,откр.л/с 15.07.09г.
</t>
        </r>
        <r>
          <rPr>
            <sz val="8"/>
            <color indexed="10"/>
            <rFont val="Tahoma"/>
            <family val="2"/>
          </rPr>
          <t>КВ.№27(47,7м2)-вывод из аренды в 2005г.,не убрана ОУЖФ.</t>
        </r>
        <r>
          <rPr>
            <sz val="8"/>
            <rFont val="Tahoma"/>
            <family val="2"/>
          </rPr>
          <t xml:space="preserve">
</t>
        </r>
      </text>
    </comment>
    <comment ref="R10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кв№29(жилая21,4м2)-вывод из аренды,откр.л/с.
Кв.№26(жилая51,4м2)-вывод из аренды 15.07.09г.
</t>
        </r>
        <r>
          <rPr>
            <sz val="8"/>
            <color indexed="10"/>
            <rFont val="Tahoma"/>
            <family val="2"/>
          </rPr>
          <t>Кв.№27(жилая21,4м2)-вывод из аренды в 2005г.Не убрана ОУЖФ.</t>
        </r>
      </text>
    </comment>
    <comment ref="D11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был УТЖС 70 /распоряж.админ./</t>
        </r>
      </text>
    </comment>
    <comment ref="N12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Убрано 108,2(СКБпер.)
</t>
        </r>
      </text>
    </comment>
    <comment ref="O12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убыт.(коррект.),кв.</t>
        </r>
        <r>
          <rPr>
            <sz val="8"/>
            <color indexed="10"/>
            <rFont val="Tahoma"/>
            <family val="2"/>
          </rPr>
          <t>74</t>
        </r>
        <r>
          <rPr>
            <sz val="8"/>
            <rFont val="Tahoma"/>
            <family val="2"/>
          </rPr>
          <t>- 0,70 м2; декабрь2009;</t>
        </r>
      </text>
    </comment>
    <comment ref="O12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убыт.(коррект.),кв.</t>
        </r>
        <r>
          <rPr>
            <sz val="8"/>
            <color indexed="10"/>
            <rFont val="Tahoma"/>
            <family val="2"/>
          </rPr>
          <t>908</t>
        </r>
        <r>
          <rPr>
            <sz val="8"/>
            <rFont val="Tahoma"/>
            <family val="2"/>
          </rPr>
          <t>- 1,10м2; октябрь2009;</t>
        </r>
      </text>
    </comment>
    <comment ref="P12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убыт.(коррект.),кв.</t>
        </r>
        <r>
          <rPr>
            <sz val="8"/>
            <color indexed="10"/>
            <rFont val="Tahoma"/>
            <family val="2"/>
          </rPr>
          <t>908</t>
        </r>
        <r>
          <rPr>
            <sz val="8"/>
            <rFont val="Tahoma"/>
            <family val="2"/>
          </rPr>
          <t>- 1,10м2; октябрь2009;</t>
        </r>
      </text>
    </comment>
    <comment ref="O13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убыт.(коррект.),кв.</t>
        </r>
        <r>
          <rPr>
            <sz val="8"/>
            <color indexed="10"/>
            <rFont val="Tahoma"/>
            <family val="2"/>
          </rPr>
          <t>4</t>
        </r>
        <r>
          <rPr>
            <sz val="8"/>
            <rFont val="Tahoma"/>
            <family val="2"/>
          </rPr>
          <t>- 0,90м2; октябрь2009;
убыт.(коррект.),кв.</t>
        </r>
        <r>
          <rPr>
            <sz val="8"/>
            <color indexed="10"/>
            <rFont val="Tahoma"/>
            <family val="2"/>
          </rPr>
          <t>105</t>
        </r>
        <r>
          <rPr>
            <sz val="8"/>
            <rFont val="Tahoma"/>
            <family val="2"/>
          </rPr>
          <t>- 0,20м2; апрель2010г;</t>
        </r>
      </text>
    </comment>
    <comment ref="P13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убыт.(коррект.),кв.</t>
        </r>
        <r>
          <rPr>
            <sz val="8"/>
            <color indexed="10"/>
            <rFont val="Tahoma"/>
            <family val="2"/>
          </rPr>
          <t>4</t>
        </r>
        <r>
          <rPr>
            <sz val="8"/>
            <rFont val="Tahoma"/>
            <family val="2"/>
          </rPr>
          <t>- 0,40м2; октябрь2009;
убыт.(коррект.),кв.</t>
        </r>
        <r>
          <rPr>
            <sz val="8"/>
            <color indexed="10"/>
            <rFont val="Tahoma"/>
            <family val="2"/>
          </rPr>
          <t>105</t>
        </r>
        <r>
          <rPr>
            <sz val="8"/>
            <rFont val="Tahoma"/>
            <family val="2"/>
          </rPr>
          <t>- 0,20м2; апрель2010г;</t>
        </r>
      </text>
    </comment>
    <comment ref="O13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Гостиница кв.31,СБК</t>
        </r>
      </text>
    </comment>
    <comment ref="P13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Гостиница кв.31,СБК</t>
        </r>
      </text>
    </comment>
    <comment ref="Q13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Гостиница кв.31,СБК</t>
        </r>
      </text>
    </comment>
    <comment ref="R13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Гостиница кв.31,СБК</t>
        </r>
      </text>
    </comment>
    <comment ref="O13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Как у Пимоненковой</t>
        </r>
      </text>
    </comment>
    <comment ref="O13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Как у Пимоненковой</t>
        </r>
      </text>
    </comment>
    <comment ref="O14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убыт.(коррект.),кв.</t>
        </r>
        <r>
          <rPr>
            <sz val="8"/>
            <color indexed="10"/>
            <rFont val="Tahoma"/>
            <family val="2"/>
          </rPr>
          <t>29</t>
        </r>
        <r>
          <rPr>
            <sz val="8"/>
            <rFont val="Tahoma"/>
            <family val="2"/>
          </rPr>
          <t>- 3,60м2; октябрь2009;</t>
        </r>
      </text>
    </comment>
    <comment ref="P14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убыт.(коррект.),кв.</t>
        </r>
        <r>
          <rPr>
            <sz val="8"/>
            <color indexed="10"/>
            <rFont val="Tahoma"/>
            <family val="2"/>
          </rPr>
          <t>29</t>
        </r>
        <r>
          <rPr>
            <sz val="8"/>
            <rFont val="Tahoma"/>
            <family val="2"/>
          </rPr>
          <t>- 3,70м2; октябрь2009;</t>
        </r>
      </text>
    </comment>
    <comment ref="O14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убыт.(коррект.),кв.</t>
        </r>
        <r>
          <rPr>
            <sz val="8"/>
            <color indexed="10"/>
            <rFont val="Tahoma"/>
            <family val="2"/>
          </rPr>
          <t>47</t>
        </r>
        <r>
          <rPr>
            <sz val="8"/>
            <rFont val="Tahoma"/>
            <family val="2"/>
          </rPr>
          <t>- 7,20м2; октябрь2009;</t>
        </r>
      </text>
    </comment>
    <comment ref="P14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убыт.(коррект.),кв.</t>
        </r>
        <r>
          <rPr>
            <sz val="8"/>
            <color indexed="10"/>
            <rFont val="Tahoma"/>
            <family val="2"/>
          </rPr>
          <t>47</t>
        </r>
        <r>
          <rPr>
            <sz val="8"/>
            <rFont val="Tahoma"/>
            <family val="2"/>
          </rPr>
          <t>- 3,80м2; октябрь2009;</t>
        </r>
      </text>
    </comment>
    <comment ref="O14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Вывод в СКБ,кв.</t>
        </r>
        <r>
          <rPr>
            <sz val="8"/>
            <color indexed="10"/>
            <rFont val="Tahoma"/>
            <family val="2"/>
          </rPr>
          <t>78</t>
        </r>
        <r>
          <rPr>
            <sz val="8"/>
            <rFont val="Tahoma"/>
            <family val="2"/>
          </rPr>
          <t xml:space="preserve"> /40,1м2/
Вывод в СКБ,кв.</t>
        </r>
        <r>
          <rPr>
            <sz val="8"/>
            <color indexed="10"/>
            <rFont val="Tahoma"/>
            <family val="2"/>
          </rPr>
          <t>77</t>
        </r>
        <r>
          <rPr>
            <sz val="8"/>
            <rFont val="Tahoma"/>
            <family val="2"/>
          </rPr>
          <t xml:space="preserve"> /48,2м2/</t>
        </r>
      </text>
    </comment>
    <comment ref="P14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Вывод в СКБ,кв.</t>
        </r>
        <r>
          <rPr>
            <sz val="8"/>
            <color indexed="10"/>
            <rFont val="Tahoma"/>
            <family val="2"/>
          </rPr>
          <t>78</t>
        </r>
        <r>
          <rPr>
            <sz val="8"/>
            <rFont val="Tahoma"/>
            <family val="2"/>
          </rPr>
          <t xml:space="preserve"> /17,7м2/
Вывод в СКБ,кв.</t>
        </r>
        <r>
          <rPr>
            <sz val="8"/>
            <color indexed="10"/>
            <rFont val="Tahoma"/>
            <family val="2"/>
          </rPr>
          <t>77</t>
        </r>
        <r>
          <rPr>
            <sz val="8"/>
            <rFont val="Tahoma"/>
            <family val="2"/>
          </rPr>
          <t xml:space="preserve"> /29,2м2/</t>
        </r>
      </text>
    </comment>
    <comment ref="O14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Как у Пимоненковой</t>
        </r>
      </text>
    </comment>
    <comment ref="O14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Как у Пимоненковой</t>
        </r>
      </text>
    </comment>
    <comment ref="O15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убыт.(коррект.),кв.</t>
        </r>
        <r>
          <rPr>
            <sz val="8"/>
            <color indexed="10"/>
            <rFont val="Tahoma"/>
            <family val="2"/>
          </rPr>
          <t>33</t>
        </r>
        <r>
          <rPr>
            <sz val="8"/>
            <rFont val="Tahoma"/>
            <family val="2"/>
          </rPr>
          <t>- 5,10м2; апрель2010г;</t>
        </r>
      </text>
    </comment>
    <comment ref="P15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приб.(коррект.),кв.</t>
        </r>
        <r>
          <rPr>
            <sz val="8"/>
            <color indexed="10"/>
            <rFont val="Tahoma"/>
            <family val="2"/>
          </rPr>
          <t>33</t>
        </r>
        <r>
          <rPr>
            <sz val="8"/>
            <rFont val="Tahoma"/>
            <family val="2"/>
          </rPr>
          <t>- 1,00м2; апрель2010г;</t>
        </r>
      </text>
    </comment>
    <comment ref="O15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убыт.(коррект.),кв.</t>
        </r>
        <r>
          <rPr>
            <sz val="8"/>
            <color indexed="10"/>
            <rFont val="Tahoma"/>
            <family val="2"/>
          </rPr>
          <t>66</t>
        </r>
        <r>
          <rPr>
            <sz val="8"/>
            <rFont val="Tahoma"/>
            <family val="2"/>
          </rPr>
          <t>- 1,10м2; январь2010г;
убыт.(коррект.),кв.</t>
        </r>
        <r>
          <rPr>
            <sz val="8"/>
            <color indexed="10"/>
            <rFont val="Tahoma"/>
            <family val="2"/>
          </rPr>
          <t>62</t>
        </r>
        <r>
          <rPr>
            <sz val="8"/>
            <rFont val="Tahoma"/>
            <family val="2"/>
          </rPr>
          <t xml:space="preserve">- 0,70м2; апрель2010г;
</t>
        </r>
      </text>
    </comment>
    <comment ref="P15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убыт.(коррект.),кв.</t>
        </r>
        <r>
          <rPr>
            <sz val="8"/>
            <color indexed="10"/>
            <rFont val="Tahoma"/>
            <family val="2"/>
          </rPr>
          <t>6</t>
        </r>
        <r>
          <rPr>
            <sz val="8"/>
            <rFont val="Tahoma"/>
            <family val="2"/>
          </rPr>
          <t>- 0,50м2; январь2010г;
убыт.(коррект.),кв.</t>
        </r>
        <r>
          <rPr>
            <sz val="8"/>
            <color indexed="10"/>
            <rFont val="Tahoma"/>
            <family val="2"/>
          </rPr>
          <t>62</t>
        </r>
        <r>
          <rPr>
            <sz val="8"/>
            <rFont val="Tahoma"/>
            <family val="2"/>
          </rPr>
          <t>- 0,20м2; апрель2010г;</t>
        </r>
      </text>
    </comment>
    <comment ref="O15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убыт.(коррект.),кв.</t>
        </r>
        <r>
          <rPr>
            <sz val="8"/>
            <color indexed="10"/>
            <rFont val="Tahoma"/>
            <family val="2"/>
          </rPr>
          <t>15</t>
        </r>
        <r>
          <rPr>
            <sz val="8"/>
            <rFont val="Tahoma"/>
            <family val="2"/>
          </rPr>
          <t>- 1,60м2; октябрь2009;</t>
        </r>
      </text>
    </comment>
    <comment ref="O16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приб.(коррект.),кв.</t>
        </r>
        <r>
          <rPr>
            <sz val="8"/>
            <color indexed="10"/>
            <rFont val="Tahoma"/>
            <family val="2"/>
          </rPr>
          <t>12</t>
        </r>
        <r>
          <rPr>
            <sz val="8"/>
            <rFont val="Tahoma"/>
            <family val="2"/>
          </rPr>
          <t>- 0,40 м2; ноябрь2009;</t>
        </r>
      </text>
    </comment>
    <comment ref="P16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приб.(коррект.),кв.</t>
        </r>
        <r>
          <rPr>
            <sz val="8"/>
            <color indexed="10"/>
            <rFont val="Tahoma"/>
            <family val="2"/>
          </rPr>
          <t>12</t>
        </r>
        <r>
          <rPr>
            <sz val="8"/>
            <rFont val="Tahoma"/>
            <family val="2"/>
          </rPr>
          <t>- 4,00 м2; ноябрь2009;</t>
        </r>
      </text>
    </comment>
    <comment ref="O16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убыт.(коррект.),кв.</t>
        </r>
        <r>
          <rPr>
            <sz val="8"/>
            <color indexed="10"/>
            <rFont val="Tahoma"/>
            <family val="2"/>
          </rPr>
          <t>28</t>
        </r>
        <r>
          <rPr>
            <sz val="8"/>
            <rFont val="Tahoma"/>
            <family val="2"/>
          </rPr>
          <t>- 0,70м2; октябрь2009;</t>
        </r>
      </text>
    </comment>
    <comment ref="P16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убыт.(коррект.),кв.</t>
        </r>
        <r>
          <rPr>
            <sz val="8"/>
            <color indexed="10"/>
            <rFont val="Tahoma"/>
            <family val="2"/>
          </rPr>
          <t>28</t>
        </r>
        <r>
          <rPr>
            <sz val="8"/>
            <rFont val="Tahoma"/>
            <family val="2"/>
          </rPr>
          <t>- 0,70м2; октябрь2009;</t>
        </r>
      </text>
    </comment>
    <comment ref="O16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приб.(коррект.),кв.</t>
        </r>
        <r>
          <rPr>
            <sz val="8"/>
            <color indexed="10"/>
            <rFont val="Tahoma"/>
            <family val="2"/>
          </rPr>
          <t>9</t>
        </r>
        <r>
          <rPr>
            <sz val="8"/>
            <rFont val="Tahoma"/>
            <family val="2"/>
          </rPr>
          <t>- 2,0 м2; октябрь2009;
убыт.(коррект.),кв.</t>
        </r>
        <r>
          <rPr>
            <sz val="8"/>
            <color indexed="10"/>
            <rFont val="Tahoma"/>
            <family val="2"/>
          </rPr>
          <t>3</t>
        </r>
        <r>
          <rPr>
            <sz val="8"/>
            <rFont val="Tahoma"/>
            <family val="2"/>
          </rPr>
          <t>- 1,20м2; октябрь2009;</t>
        </r>
      </text>
    </comment>
    <comment ref="P16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приб.(коррект.),кв.</t>
        </r>
        <r>
          <rPr>
            <sz val="8"/>
            <color indexed="10"/>
            <rFont val="Tahoma"/>
            <family val="2"/>
          </rPr>
          <t>9</t>
        </r>
        <r>
          <rPr>
            <sz val="8"/>
            <rFont val="Tahoma"/>
            <family val="2"/>
          </rPr>
          <t>- 2,1 м2; октябрь2009;
убыт.(коррект.),кв.</t>
        </r>
        <r>
          <rPr>
            <sz val="8"/>
            <color indexed="10"/>
            <rFont val="Tahoma"/>
            <family val="2"/>
          </rPr>
          <t>3</t>
        </r>
        <r>
          <rPr>
            <sz val="8"/>
            <rFont val="Tahoma"/>
            <family val="2"/>
          </rPr>
          <t>- 7,4м2; октябрь2009;</t>
        </r>
      </text>
    </comment>
    <comment ref="O17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убыт.(коррект.),кв.</t>
        </r>
        <r>
          <rPr>
            <sz val="8"/>
            <color indexed="10"/>
            <rFont val="Tahoma"/>
            <family val="2"/>
          </rPr>
          <t>403</t>
        </r>
        <r>
          <rPr>
            <sz val="8"/>
            <rFont val="Tahoma"/>
            <family val="2"/>
          </rPr>
          <t>- 0,40м2; октябрь2009;</t>
        </r>
      </text>
    </comment>
    <comment ref="P17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убыт.(коррект.),кв.</t>
        </r>
        <r>
          <rPr>
            <sz val="8"/>
            <color indexed="10"/>
            <rFont val="Tahoma"/>
            <family val="2"/>
          </rPr>
          <t>403</t>
        </r>
        <r>
          <rPr>
            <sz val="8"/>
            <rFont val="Tahoma"/>
            <family val="2"/>
          </rPr>
          <t>- 0,50м2; октябрь2009;</t>
        </r>
      </text>
    </comment>
    <comment ref="O18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убыт.(коррект.),кв.</t>
        </r>
        <r>
          <rPr>
            <sz val="8"/>
            <color indexed="10"/>
            <rFont val="Tahoma"/>
            <family val="2"/>
          </rPr>
          <t>41</t>
        </r>
        <r>
          <rPr>
            <sz val="8"/>
            <rFont val="Tahoma"/>
            <family val="2"/>
          </rPr>
          <t>- 0,30м2; октябрь2009;</t>
        </r>
      </text>
    </comment>
    <comment ref="P18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убыт.(коррект.),кв.</t>
        </r>
        <r>
          <rPr>
            <sz val="8"/>
            <color indexed="10"/>
            <rFont val="Tahoma"/>
            <family val="2"/>
          </rPr>
          <t>41</t>
        </r>
        <r>
          <rPr>
            <sz val="8"/>
            <rFont val="Tahoma"/>
            <family val="2"/>
          </rPr>
          <t>- 0,30м2; октябрь2009;</t>
        </r>
      </text>
    </comment>
    <comment ref="O18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убыт.(коррект.),кв.</t>
        </r>
        <r>
          <rPr>
            <sz val="8"/>
            <color indexed="10"/>
            <rFont val="Tahoma"/>
            <family val="2"/>
          </rPr>
          <t>8</t>
        </r>
        <r>
          <rPr>
            <sz val="8"/>
            <rFont val="Tahoma"/>
            <family val="2"/>
          </rPr>
          <t>- 0,10м2; апрель2010г;</t>
        </r>
      </text>
    </comment>
    <comment ref="P18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приб.(коррект.),кв.</t>
        </r>
        <r>
          <rPr>
            <sz val="8"/>
            <color indexed="10"/>
            <rFont val="Tahoma"/>
            <family val="2"/>
          </rPr>
          <t>8</t>
        </r>
        <r>
          <rPr>
            <sz val="8"/>
            <rFont val="Tahoma"/>
            <family val="2"/>
          </rPr>
          <t>- 0,20м2; апрель2010г;</t>
        </r>
      </text>
    </comment>
    <comment ref="O20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убыт.(коррект.),кв.62- 0,60м2; октябрь2009;</t>
        </r>
      </text>
    </comment>
    <comment ref="O21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убыт.(коррект.),кв.</t>
        </r>
        <r>
          <rPr>
            <sz val="8"/>
            <color indexed="10"/>
            <rFont val="Tahoma"/>
            <family val="2"/>
          </rPr>
          <t>59</t>
        </r>
        <r>
          <rPr>
            <sz val="8"/>
            <rFont val="Tahoma"/>
            <family val="2"/>
          </rPr>
          <t>- 0,20м2; октябрь2009;
убыт.(коррект.),кв.</t>
        </r>
        <r>
          <rPr>
            <sz val="8"/>
            <color indexed="10"/>
            <rFont val="Tahoma"/>
            <family val="2"/>
          </rPr>
          <t>36</t>
        </r>
        <r>
          <rPr>
            <sz val="8"/>
            <rFont val="Tahoma"/>
            <family val="2"/>
          </rPr>
          <t>- 1,00м2; апрель2010г;</t>
        </r>
      </text>
    </comment>
    <comment ref="P21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убыт.(коррект.),кв.</t>
        </r>
        <r>
          <rPr>
            <sz val="8"/>
            <color indexed="10"/>
            <rFont val="Tahoma"/>
            <family val="2"/>
          </rPr>
          <t>59</t>
        </r>
        <r>
          <rPr>
            <sz val="8"/>
            <rFont val="Tahoma"/>
            <family val="2"/>
          </rPr>
          <t>- 0,20м2; октябрь2009;
убыт.(коррект.),кв.</t>
        </r>
        <r>
          <rPr>
            <sz val="8"/>
            <color indexed="10"/>
            <rFont val="Tahoma"/>
            <family val="2"/>
          </rPr>
          <t>36</t>
        </r>
        <r>
          <rPr>
            <sz val="8"/>
            <rFont val="Tahoma"/>
            <family val="2"/>
          </rPr>
          <t>- 1,70м2; апрель2010г;</t>
        </r>
      </text>
    </comment>
    <comment ref="O21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убыт.(коррект.),кв.</t>
        </r>
        <r>
          <rPr>
            <sz val="8"/>
            <color indexed="10"/>
            <rFont val="Tahoma"/>
            <family val="2"/>
          </rPr>
          <t>27</t>
        </r>
        <r>
          <rPr>
            <sz val="8"/>
            <rFont val="Tahoma"/>
            <family val="2"/>
          </rPr>
          <t>- 1,40м2; октябрь2009;</t>
        </r>
      </text>
    </comment>
    <comment ref="O21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Ушла кв.63, вх.№303 от 19.05.2009
Закрытие л/с кв.36 
</t>
        </r>
        <r>
          <rPr>
            <sz val="8"/>
            <color indexed="10"/>
            <rFont val="Tahoma"/>
            <family val="2"/>
          </rPr>
          <t>Открытие</t>
        </r>
        <r>
          <rPr>
            <sz val="8"/>
            <rFont val="Tahoma"/>
            <family val="2"/>
          </rPr>
          <t xml:space="preserve"> л/с кв.№63,кв.№36.
</t>
        </r>
        <r>
          <rPr>
            <sz val="8"/>
            <color indexed="10"/>
            <rFont val="Tahoma"/>
            <family val="2"/>
          </rPr>
          <t>Открытие</t>
        </r>
        <r>
          <rPr>
            <sz val="8"/>
            <rFont val="Tahoma"/>
            <family val="2"/>
          </rPr>
          <t xml:space="preserve"> л/с кв.36
375,7-убраны все закрытые л.сч. Как в ЕРКЦ
</t>
        </r>
      </text>
    </comment>
    <comment ref="P21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Ушла кв.63, вх.№303 от 19.05.2009
Закрытие л/с кв.36 
</t>
        </r>
        <r>
          <rPr>
            <sz val="8"/>
            <color indexed="10"/>
            <rFont val="Tahoma"/>
            <family val="2"/>
          </rPr>
          <t>Открытие</t>
        </r>
        <r>
          <rPr>
            <sz val="8"/>
            <rFont val="Tahoma"/>
            <family val="2"/>
          </rPr>
          <t xml:space="preserve"> л/с кв.№63,кв.№36.
</t>
        </r>
        <r>
          <rPr>
            <sz val="8"/>
            <color indexed="10"/>
            <rFont val="Tahoma"/>
            <family val="2"/>
          </rPr>
          <t xml:space="preserve">Открытие </t>
        </r>
        <r>
          <rPr>
            <sz val="8"/>
            <rFont val="Tahoma"/>
            <family val="2"/>
          </rPr>
          <t>л/с кв.36</t>
        </r>
      </text>
    </comment>
    <comment ref="O22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убыт.(коррект.),кв.</t>
        </r>
        <r>
          <rPr>
            <sz val="8"/>
            <color indexed="10"/>
            <rFont val="Tahoma"/>
            <family val="2"/>
          </rPr>
          <t>22</t>
        </r>
        <r>
          <rPr>
            <sz val="8"/>
            <rFont val="Tahoma"/>
            <family val="2"/>
          </rPr>
          <t>- 1,00м2; октябрь2009;</t>
        </r>
      </text>
    </comment>
    <comment ref="P22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убыт.(коррект.),кв.</t>
        </r>
        <r>
          <rPr>
            <sz val="8"/>
            <color indexed="10"/>
            <rFont val="Tahoma"/>
            <family val="2"/>
          </rPr>
          <t>22</t>
        </r>
        <r>
          <rPr>
            <sz val="8"/>
            <rFont val="Tahoma"/>
            <family val="2"/>
          </rPr>
          <t>- 0,50м2; октябрь2009;</t>
        </r>
      </text>
    </comment>
    <comment ref="S22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СКБ кв.31
</t>
        </r>
      </text>
    </comment>
    <comment ref="O22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убыт.(коррект.),кв.</t>
        </r>
        <r>
          <rPr>
            <sz val="8"/>
            <color indexed="10"/>
            <rFont val="Tahoma"/>
            <family val="2"/>
          </rPr>
          <t>41</t>
        </r>
        <r>
          <rPr>
            <sz val="8"/>
            <rFont val="Tahoma"/>
            <family val="2"/>
          </rPr>
          <t>- 1,40м2; октябрь2009;</t>
        </r>
      </text>
    </comment>
    <comment ref="P22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убыт.(коррект.),кв.</t>
        </r>
        <r>
          <rPr>
            <sz val="8"/>
            <color indexed="10"/>
            <rFont val="Tahoma"/>
            <family val="2"/>
          </rPr>
          <t>41</t>
        </r>
        <r>
          <rPr>
            <sz val="8"/>
            <rFont val="Tahoma"/>
            <family val="2"/>
          </rPr>
          <t>- 1,40м2; октябрь2009;</t>
        </r>
      </text>
    </comment>
    <comment ref="O22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убыт.(коррект.),кв.</t>
        </r>
        <r>
          <rPr>
            <sz val="8"/>
            <color indexed="10"/>
            <rFont val="Tahoma"/>
            <family val="2"/>
          </rPr>
          <t>16</t>
        </r>
        <r>
          <rPr>
            <sz val="8"/>
            <rFont val="Tahoma"/>
            <family val="2"/>
          </rPr>
          <t>- 1,10м2; октябрь2009;</t>
        </r>
      </text>
    </comment>
    <comment ref="P22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убыт.(коррект.),кв.</t>
        </r>
        <r>
          <rPr>
            <sz val="8"/>
            <color indexed="10"/>
            <rFont val="Tahoma"/>
            <family val="2"/>
          </rPr>
          <t>16</t>
        </r>
        <r>
          <rPr>
            <sz val="8"/>
            <rFont val="Tahoma"/>
            <family val="2"/>
          </rPr>
          <t>- 1,10м2; октябрь2009;</t>
        </r>
      </text>
    </comment>
  </commentList>
</comments>
</file>

<file path=xl/sharedStrings.xml><?xml version="1.0" encoding="utf-8"?>
<sst xmlns="http://schemas.openxmlformats.org/spreadsheetml/2006/main" count="719" uniqueCount="227">
  <si>
    <t>в том числе</t>
  </si>
  <si>
    <t>Площадь квартир</t>
  </si>
  <si>
    <t>Общая</t>
  </si>
  <si>
    <t>мкр.  И-2</t>
  </si>
  <si>
    <t xml:space="preserve"> </t>
  </si>
  <si>
    <t>81.03</t>
  </si>
  <si>
    <t xml:space="preserve">Ленина </t>
  </si>
  <si>
    <t>КПД</t>
  </si>
  <si>
    <t xml:space="preserve">Космонавтов </t>
  </si>
  <si>
    <t>81.04</t>
  </si>
  <si>
    <t xml:space="preserve">Миpа </t>
  </si>
  <si>
    <t>82.02</t>
  </si>
  <si>
    <t xml:space="preserve">Холмогоpская </t>
  </si>
  <si>
    <t>80\28</t>
  </si>
  <si>
    <t>82\81</t>
  </si>
  <si>
    <t>86.02</t>
  </si>
  <si>
    <t>99.10</t>
  </si>
  <si>
    <t>мкр. И</t>
  </si>
  <si>
    <t>42а</t>
  </si>
  <si>
    <t>42б</t>
  </si>
  <si>
    <t>98.12</t>
  </si>
  <si>
    <t>94.12</t>
  </si>
  <si>
    <t xml:space="preserve">60 лет  СССР </t>
  </si>
  <si>
    <t>93.03</t>
  </si>
  <si>
    <t>58а</t>
  </si>
  <si>
    <t>ИТОГО:</t>
  </si>
  <si>
    <t>Советская</t>
  </si>
  <si>
    <t>СКБ в квар., м2</t>
  </si>
  <si>
    <t xml:space="preserve">Мира </t>
  </si>
  <si>
    <t>97.06</t>
  </si>
  <si>
    <t xml:space="preserve">Советская </t>
  </si>
  <si>
    <t>30а</t>
  </si>
  <si>
    <t>30б</t>
  </si>
  <si>
    <t xml:space="preserve">Магистральная </t>
  </si>
  <si>
    <t>43а</t>
  </si>
  <si>
    <t>36а</t>
  </si>
  <si>
    <t>принят.</t>
  </si>
  <si>
    <t>на бал.</t>
  </si>
  <si>
    <t>м-н  Н</t>
  </si>
  <si>
    <t xml:space="preserve">Изыскателей </t>
  </si>
  <si>
    <t>15а</t>
  </si>
  <si>
    <t>19а</t>
  </si>
  <si>
    <t>21а</t>
  </si>
  <si>
    <t>21в</t>
  </si>
  <si>
    <t>Учебная  зона</t>
  </si>
  <si>
    <t>41а</t>
  </si>
  <si>
    <t>41б</t>
  </si>
  <si>
    <t>43б</t>
  </si>
  <si>
    <t>м-н М</t>
  </si>
  <si>
    <t>20а</t>
  </si>
  <si>
    <t>89в</t>
  </si>
  <si>
    <t>89г</t>
  </si>
  <si>
    <t>91а</t>
  </si>
  <si>
    <t>91б</t>
  </si>
  <si>
    <t>93а</t>
  </si>
  <si>
    <t>93б</t>
  </si>
  <si>
    <t>93в</t>
  </si>
  <si>
    <t xml:space="preserve">Холмогорская </t>
  </si>
  <si>
    <t>91.12</t>
  </si>
  <si>
    <t>85.03</t>
  </si>
  <si>
    <t>87.04</t>
  </si>
  <si>
    <t xml:space="preserve"> мкр.6</t>
  </si>
  <si>
    <t>89.12</t>
  </si>
  <si>
    <t>90.08</t>
  </si>
  <si>
    <t>78а</t>
  </si>
  <si>
    <t>90.12</t>
  </si>
  <si>
    <t>96.07</t>
  </si>
  <si>
    <t>82а</t>
  </si>
  <si>
    <t>82б</t>
  </si>
  <si>
    <t>82в</t>
  </si>
  <si>
    <t>86.03</t>
  </si>
  <si>
    <t>84а</t>
  </si>
  <si>
    <t>84б</t>
  </si>
  <si>
    <t>84в</t>
  </si>
  <si>
    <t>86.04</t>
  </si>
  <si>
    <t>36б</t>
  </si>
  <si>
    <t>38а</t>
  </si>
  <si>
    <t>38б</t>
  </si>
  <si>
    <t>87.03</t>
  </si>
  <si>
    <t>38в</t>
  </si>
  <si>
    <t>40а</t>
  </si>
  <si>
    <t>40б</t>
  </si>
  <si>
    <t xml:space="preserve">40 лет Победы </t>
  </si>
  <si>
    <t>7а</t>
  </si>
  <si>
    <t>7б</t>
  </si>
  <si>
    <t>7в</t>
  </si>
  <si>
    <t>35б</t>
  </si>
  <si>
    <t>95.04</t>
  </si>
  <si>
    <t>мкр. " 5 "</t>
  </si>
  <si>
    <t xml:space="preserve">Высоцкого </t>
  </si>
  <si>
    <t>3а</t>
  </si>
  <si>
    <t>11а</t>
  </si>
  <si>
    <t>111а</t>
  </si>
  <si>
    <t>111б</t>
  </si>
  <si>
    <t>113а</t>
  </si>
  <si>
    <t>113б</t>
  </si>
  <si>
    <t>115а</t>
  </si>
  <si>
    <t>115б</t>
  </si>
  <si>
    <t>90а</t>
  </si>
  <si>
    <t>90б</t>
  </si>
  <si>
    <t>96а</t>
  </si>
  <si>
    <t>98а</t>
  </si>
  <si>
    <t>мкр.7</t>
  </si>
  <si>
    <t>92.11</t>
  </si>
  <si>
    <t xml:space="preserve">В.Цоя </t>
  </si>
  <si>
    <t>92.10</t>
  </si>
  <si>
    <t>3б</t>
  </si>
  <si>
    <t>3в</t>
  </si>
  <si>
    <t>5б</t>
  </si>
  <si>
    <t>5в</t>
  </si>
  <si>
    <t>9б</t>
  </si>
  <si>
    <t>9в</t>
  </si>
  <si>
    <t>11в</t>
  </si>
  <si>
    <t>11б</t>
  </si>
  <si>
    <t>13а</t>
  </si>
  <si>
    <t>93.11</t>
  </si>
  <si>
    <t>17а</t>
  </si>
  <si>
    <t>94.03</t>
  </si>
  <si>
    <t>94.01</t>
  </si>
  <si>
    <t>21б</t>
  </si>
  <si>
    <t>97.07</t>
  </si>
  <si>
    <t xml:space="preserve">Высоцкого  </t>
  </si>
  <si>
    <t>5\7</t>
  </si>
  <si>
    <t>96.12</t>
  </si>
  <si>
    <t>22</t>
  </si>
  <si>
    <t>93.05</t>
  </si>
  <si>
    <t>93.06</t>
  </si>
  <si>
    <t>34а</t>
  </si>
  <si>
    <t>34б</t>
  </si>
  <si>
    <t>94.11</t>
  </si>
  <si>
    <t>94.09</t>
  </si>
  <si>
    <t>95.09</t>
  </si>
  <si>
    <t>94.05</t>
  </si>
  <si>
    <t>44а</t>
  </si>
  <si>
    <t>46</t>
  </si>
  <si>
    <t>94.04</t>
  </si>
  <si>
    <t>46а</t>
  </si>
  <si>
    <t>мкр.Н-3</t>
  </si>
  <si>
    <t>мкр. Л</t>
  </si>
  <si>
    <t>92.07</t>
  </si>
  <si>
    <t>мкр.УТДС</t>
  </si>
  <si>
    <t>пос.УТАДС</t>
  </si>
  <si>
    <t>13б</t>
  </si>
  <si>
    <t>16б</t>
  </si>
  <si>
    <t>64а</t>
  </si>
  <si>
    <t>72в</t>
  </si>
  <si>
    <t>76а</t>
  </si>
  <si>
    <t>96б</t>
  </si>
  <si>
    <t>факт</t>
  </si>
  <si>
    <t>нов. тех.п.</t>
  </si>
  <si>
    <t>03.01г.</t>
  </si>
  <si>
    <t>Кирп.</t>
  </si>
  <si>
    <t>кирп.</t>
  </si>
  <si>
    <t>Тип здания</t>
  </si>
  <si>
    <t>Кол-во этажей</t>
  </si>
  <si>
    <t>Кол-во дом.</t>
  </si>
  <si>
    <t>Кол-во подъез.</t>
  </si>
  <si>
    <t>Кол-во входов</t>
  </si>
  <si>
    <t>Номер дома</t>
  </si>
  <si>
    <t>Год ввода</t>
  </si>
  <si>
    <t>Пл. лест. кл.</t>
  </si>
  <si>
    <t>Пл. мест общ. польз.</t>
  </si>
  <si>
    <t>Пл.лест.клеток                 с  К=1,3</t>
  </si>
  <si>
    <t>№ п/п</t>
  </si>
  <si>
    <t>Кирп</t>
  </si>
  <si>
    <t>СКБ пер. м2</t>
  </si>
  <si>
    <t>Почтовый адрес</t>
  </si>
  <si>
    <t>2001</t>
  </si>
  <si>
    <t>02.00</t>
  </si>
  <si>
    <t>Площадь балк, лодж, терасс,м2 (с коэф.)</t>
  </si>
  <si>
    <t>Физ.лица</t>
  </si>
  <si>
    <t>Кол-во квартир</t>
  </si>
  <si>
    <t>Всего</t>
  </si>
  <si>
    <t>в т.ч. жилая</t>
  </si>
  <si>
    <t>Год включения в реестр мун.собств.</t>
  </si>
  <si>
    <t>Численность</t>
  </si>
  <si>
    <t>Жилье в аренде</t>
  </si>
  <si>
    <t>Категория</t>
  </si>
  <si>
    <t>Холмогорская</t>
  </si>
  <si>
    <t>37а</t>
  </si>
  <si>
    <t>12 б/элузл.</t>
  </si>
  <si>
    <t>8 б/элузл.</t>
  </si>
  <si>
    <t>10 б/элузл.</t>
  </si>
  <si>
    <t>11 б/элузл.</t>
  </si>
  <si>
    <t>27а</t>
  </si>
  <si>
    <t>29б</t>
  </si>
  <si>
    <t>32б</t>
  </si>
  <si>
    <t>38 а</t>
  </si>
  <si>
    <t>без</t>
  </si>
  <si>
    <t>99.0</t>
  </si>
  <si>
    <t>Шевченко</t>
  </si>
  <si>
    <t>10 б/элузл</t>
  </si>
  <si>
    <t>Киевская</t>
  </si>
  <si>
    <t>п. УТЖС</t>
  </si>
  <si>
    <t>УТДС</t>
  </si>
  <si>
    <t>УТАДС</t>
  </si>
  <si>
    <t>01.05г.</t>
  </si>
  <si>
    <t>40/13</t>
  </si>
  <si>
    <t>62б</t>
  </si>
  <si>
    <t>мкр.Г</t>
  </si>
  <si>
    <t>Республики</t>
  </si>
  <si>
    <t xml:space="preserve">                        СВЕДЕНИЯ  </t>
  </si>
  <si>
    <t xml:space="preserve">Общая площадь здания </t>
  </si>
  <si>
    <t>11 б/элузл</t>
  </si>
  <si>
    <t>8 б/элузл</t>
  </si>
  <si>
    <t>12 б/элузл</t>
  </si>
  <si>
    <t>ИТОГО  :</t>
  </si>
  <si>
    <t>Мира</t>
  </si>
  <si>
    <t>55/57</t>
  </si>
  <si>
    <t>Исп.ПТО 42-53-46</t>
  </si>
  <si>
    <t>Анахина Е.М.</t>
  </si>
  <si>
    <r>
      <t>МОП+</t>
    </r>
    <r>
      <rPr>
        <sz val="10"/>
        <rFont val="Times New Roman"/>
        <family val="1"/>
      </rPr>
      <t>уб</t>
    </r>
    <r>
      <rPr>
        <b/>
        <sz val="10"/>
        <rFont val="Times New Roman"/>
        <family val="1"/>
      </rPr>
      <t xml:space="preserve">.пл.лест.кл. </t>
    </r>
    <r>
      <rPr>
        <b/>
        <sz val="12"/>
        <rFont val="Times New Roman"/>
        <family val="1"/>
      </rPr>
      <t>вкл.1,2,3эт.; 3эт в 5эт и 4эт в 9эт</t>
    </r>
  </si>
  <si>
    <r>
      <t>МОП+уб.пл.лест.кл.</t>
    </r>
    <r>
      <rPr>
        <b/>
        <sz val="12"/>
        <rFont val="Times New Roman"/>
        <family val="1"/>
      </rPr>
      <t>св.3эт и 4эт</t>
    </r>
  </si>
  <si>
    <t>Приложение №_________</t>
  </si>
  <si>
    <t>от "_______"__________________20____г.</t>
  </si>
  <si>
    <t>УТВЕРЖДАЮ:</t>
  </si>
  <si>
    <t xml:space="preserve">Директор </t>
  </si>
  <si>
    <t>ООО "НЖСК +"</t>
  </si>
  <si>
    <t>А.И. Мухачев</t>
  </si>
  <si>
    <t>СОГЛАСОВАНО:</t>
  </si>
  <si>
    <t>ВСЕГО:</t>
  </si>
  <si>
    <t>мкр."Д-1"</t>
  </si>
  <si>
    <t>Р.М. Манджиев</t>
  </si>
  <si>
    <t>б/к</t>
  </si>
  <si>
    <t>13в</t>
  </si>
  <si>
    <t>о  жилищном фонде, находяшемся в обслуживании в ООО "НЖСК +" по состоянию на 01.01.2016год</t>
  </si>
  <si>
    <t>Исполнительный директор ООО "НЖСК+"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</si>
</sst>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_-* #,##0.000\ _р_._-;\-* #,##0.000\ _р_._-;_-* &quot;-&quot;??\ _р_._-;_-@_-"/>
    <numFmt numFmtId="182" formatCode="_-* #,##0.0\ _р_._-;\-* #,##0.0\ _р_._-;_-* &quot;-&quot;??\ _р_._-;_-@_-"/>
    <numFmt numFmtId="183" formatCode="_-* #,##0\ _р_._-;\-* #,##0\ _р_._-;_-* &quot;-&quot;??\ _р_._-;_-@_-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0.00;[Red]0.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mmm\ yy"/>
    <numFmt numFmtId="197" formatCode="0.0E+00"/>
    <numFmt numFmtId="198" formatCode="0E+00"/>
    <numFmt numFmtId="199" formatCode="[$-FC19]d\ mmmm\ yyyy\ &quot;г.&quot;"/>
    <numFmt numFmtId="200" formatCode="dd/mm/yy;@"/>
    <numFmt numFmtId="201" formatCode="#,##0.0"/>
  </numFmts>
  <fonts count="51">
    <font>
      <sz val="10"/>
      <name val="Arial Cyr"/>
      <family val="0"/>
    </font>
    <font>
      <u val="single"/>
      <sz val="10"/>
      <color indexed="30"/>
      <name val="Arial Cyr"/>
      <family val="0"/>
    </font>
    <font>
      <u val="single"/>
      <sz val="10"/>
      <color indexed="48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color indexed="10"/>
      <name val="Tahoma"/>
      <family val="2"/>
    </font>
    <font>
      <sz val="12"/>
      <name val="Times New Roman"/>
      <family val="1"/>
    </font>
    <font>
      <sz val="8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7" fillId="0" borderId="10" xfId="0" applyFont="1" applyFill="1" applyBorder="1" applyAlignment="1" applyProtection="1">
      <alignment wrapText="1"/>
      <protection locked="0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 applyProtection="1">
      <alignment horizontal="center" wrapText="1"/>
      <protection locked="0"/>
    </xf>
    <xf numFmtId="0" fontId="5" fillId="0" borderId="11" xfId="0" applyFont="1" applyFill="1" applyBorder="1" applyAlignment="1" applyProtection="1">
      <alignment horizontal="center" wrapText="1"/>
      <protection locked="0"/>
    </xf>
    <xf numFmtId="0" fontId="7" fillId="0" borderId="11" xfId="0" applyFont="1" applyFill="1" applyBorder="1" applyAlignment="1" applyProtection="1">
      <alignment horizontal="left" wrapText="1"/>
      <protection locked="0"/>
    </xf>
    <xf numFmtId="0" fontId="7" fillId="0" borderId="12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wrapText="1"/>
    </xf>
    <xf numFmtId="0" fontId="7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 applyProtection="1">
      <alignment horizontal="center" wrapText="1"/>
      <protection locked="0"/>
    </xf>
    <xf numFmtId="0" fontId="5" fillId="0" borderId="15" xfId="0" applyFont="1" applyFill="1" applyBorder="1" applyAlignment="1" applyProtection="1">
      <alignment horizontal="center" wrapText="1"/>
      <protection locked="0"/>
    </xf>
    <xf numFmtId="0" fontId="5" fillId="0" borderId="14" xfId="0" applyFont="1" applyFill="1" applyBorder="1" applyAlignment="1" applyProtection="1">
      <alignment horizontal="center" textRotation="90" wrapText="1"/>
      <protection locked="0"/>
    </xf>
    <xf numFmtId="0" fontId="5" fillId="0" borderId="16" xfId="0" applyFont="1" applyFill="1" applyBorder="1" applyAlignment="1" applyProtection="1">
      <alignment horizontal="center" textRotation="90" wrapText="1"/>
      <protection locked="0"/>
    </xf>
    <xf numFmtId="0" fontId="7" fillId="0" borderId="17" xfId="0" applyFont="1" applyFill="1" applyBorder="1" applyAlignment="1" applyProtection="1">
      <alignment horizontal="center" textRotation="90" wrapText="1"/>
      <protection locked="0"/>
    </xf>
    <xf numFmtId="0" fontId="7" fillId="0" borderId="11" xfId="0" applyFont="1" applyFill="1" applyBorder="1" applyAlignment="1" applyProtection="1">
      <alignment wrapText="1"/>
      <protection locked="0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left"/>
    </xf>
    <xf numFmtId="0" fontId="5" fillId="0" borderId="18" xfId="0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>
      <alignment horizontal="center"/>
    </xf>
    <xf numFmtId="0" fontId="5" fillId="0" borderId="11" xfId="0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11" xfId="0" applyFont="1" applyFill="1" applyBorder="1" applyAlignment="1" applyProtection="1">
      <alignment horizontal="left"/>
      <protection locked="0"/>
    </xf>
    <xf numFmtId="0" fontId="5" fillId="0" borderId="16" xfId="0" applyFont="1" applyFill="1" applyBorder="1" applyAlignment="1" applyProtection="1">
      <alignment horizontal="center" wrapText="1"/>
      <protection locked="0"/>
    </xf>
    <xf numFmtId="0" fontId="7" fillId="0" borderId="22" xfId="0" applyFont="1" applyFill="1" applyBorder="1" applyAlignment="1" applyProtection="1">
      <alignment horizontal="center" textRotation="90" wrapText="1"/>
      <protection locked="0"/>
    </xf>
    <xf numFmtId="0" fontId="7" fillId="0" borderId="23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wrapText="1"/>
    </xf>
    <xf numFmtId="0" fontId="8" fillId="0" borderId="22" xfId="0" applyFont="1" applyFill="1" applyBorder="1" applyAlignment="1" applyProtection="1">
      <alignment horizontal="center" wrapText="1"/>
      <protection locked="0"/>
    </xf>
    <xf numFmtId="0" fontId="7" fillId="0" borderId="24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left" wrapText="1"/>
    </xf>
    <xf numFmtId="0" fontId="7" fillId="0" borderId="28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 locked="0"/>
    </xf>
    <xf numFmtId="0" fontId="7" fillId="0" borderId="27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5" fillId="0" borderId="10" xfId="0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>
      <alignment horizontal="right"/>
    </xf>
    <xf numFmtId="16" fontId="5" fillId="0" borderId="11" xfId="0" applyNumberFormat="1" applyFont="1" applyFill="1" applyBorder="1" applyAlignment="1" applyProtection="1">
      <alignment horizontal="center"/>
      <protection locked="0"/>
    </xf>
    <xf numFmtId="1" fontId="5" fillId="0" borderId="11" xfId="0" applyNumberFormat="1" applyFont="1" applyFill="1" applyBorder="1" applyAlignment="1" applyProtection="1">
      <alignment horizontal="center"/>
      <protection locked="0"/>
    </xf>
    <xf numFmtId="0" fontId="7" fillId="0" borderId="24" xfId="0" applyFont="1" applyFill="1" applyBorder="1" applyAlignment="1">
      <alignment/>
    </xf>
    <xf numFmtId="0" fontId="5" fillId="33" borderId="30" xfId="0" applyFont="1" applyFill="1" applyBorder="1" applyAlignment="1" applyProtection="1">
      <alignment horizontal="center" wrapText="1"/>
      <protection locked="0"/>
    </xf>
    <xf numFmtId="0" fontId="5" fillId="33" borderId="16" xfId="0" applyFont="1" applyFill="1" applyBorder="1" applyAlignment="1" applyProtection="1">
      <alignment horizontal="center" wrapText="1"/>
      <protection locked="0"/>
    </xf>
    <xf numFmtId="0" fontId="7" fillId="0" borderId="11" xfId="0" applyFont="1" applyFill="1" applyBorder="1" applyAlignment="1" applyProtection="1">
      <alignment horizontal="right"/>
      <protection locked="0"/>
    </xf>
    <xf numFmtId="0" fontId="5" fillId="34" borderId="30" xfId="0" applyFont="1" applyFill="1" applyBorder="1" applyAlignment="1">
      <alignment horizontal="right"/>
    </xf>
    <xf numFmtId="180" fontId="5" fillId="34" borderId="16" xfId="0" applyNumberFormat="1" applyFont="1" applyFill="1" applyBorder="1" applyAlignment="1">
      <alignment horizontal="right"/>
    </xf>
    <xf numFmtId="180" fontId="7" fillId="0" borderId="11" xfId="0" applyNumberFormat="1" applyFont="1" applyFill="1" applyBorder="1" applyAlignment="1">
      <alignment/>
    </xf>
    <xf numFmtId="0" fontId="7" fillId="0" borderId="31" xfId="0" applyFont="1" applyFill="1" applyBorder="1" applyAlignment="1">
      <alignment horizontal="center" wrapText="1"/>
    </xf>
    <xf numFmtId="0" fontId="5" fillId="35" borderId="16" xfId="0" applyFont="1" applyFill="1" applyBorder="1" applyAlignment="1" applyProtection="1">
      <alignment horizontal="center"/>
      <protection locked="0"/>
    </xf>
    <xf numFmtId="0" fontId="5" fillId="36" borderId="16" xfId="0" applyFont="1" applyFill="1" applyBorder="1" applyAlignment="1" applyProtection="1">
      <alignment/>
      <protection locked="0"/>
    </xf>
    <xf numFmtId="0" fontId="5" fillId="0" borderId="32" xfId="0" applyFont="1" applyFill="1" applyBorder="1" applyAlignment="1" applyProtection="1">
      <alignment/>
      <protection locked="0"/>
    </xf>
    <xf numFmtId="2" fontId="7" fillId="0" borderId="11" xfId="0" applyNumberFormat="1" applyFont="1" applyFill="1" applyBorder="1" applyAlignment="1">
      <alignment/>
    </xf>
    <xf numFmtId="2" fontId="5" fillId="0" borderId="11" xfId="0" applyNumberFormat="1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>
      <alignment horizontal="center" wrapText="1"/>
    </xf>
    <xf numFmtId="0" fontId="7" fillId="37" borderId="12" xfId="0" applyFont="1" applyFill="1" applyBorder="1" applyAlignment="1">
      <alignment/>
    </xf>
    <xf numFmtId="201" fontId="5" fillId="0" borderId="11" xfId="0" applyNumberFormat="1" applyFont="1" applyFill="1" applyBorder="1" applyAlignment="1" applyProtection="1">
      <alignment horizontal="center" wrapText="1"/>
      <protection locked="0"/>
    </xf>
    <xf numFmtId="0" fontId="7" fillId="38" borderId="12" xfId="0" applyFont="1" applyFill="1" applyBorder="1" applyAlignment="1">
      <alignment/>
    </xf>
    <xf numFmtId="0" fontId="7" fillId="39" borderId="12" xfId="0" applyFont="1" applyFill="1" applyBorder="1" applyAlignment="1">
      <alignment/>
    </xf>
    <xf numFmtId="0" fontId="7" fillId="39" borderId="21" xfId="0" applyFont="1" applyFill="1" applyBorder="1" applyAlignment="1">
      <alignment/>
    </xf>
    <xf numFmtId="0" fontId="7" fillId="0" borderId="11" xfId="0" applyFont="1" applyFill="1" applyBorder="1" applyAlignment="1" applyProtection="1">
      <alignment horizontal="right" wrapText="1"/>
      <protection locked="0"/>
    </xf>
    <xf numFmtId="0" fontId="7" fillId="0" borderId="11" xfId="0" applyFont="1" applyFill="1" applyBorder="1" applyAlignment="1">
      <alignment horizontal="right" wrapText="1"/>
    </xf>
    <xf numFmtId="2" fontId="7" fillId="0" borderId="11" xfId="0" applyNumberFormat="1" applyFont="1" applyFill="1" applyBorder="1" applyAlignment="1">
      <alignment horizontal="center" wrapText="1"/>
    </xf>
    <xf numFmtId="180" fontId="7" fillId="0" borderId="11" xfId="0" applyNumberFormat="1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34" xfId="0" applyFont="1" applyFill="1" applyBorder="1" applyAlignment="1">
      <alignment horizontal="center" wrapText="1"/>
    </xf>
    <xf numFmtId="0" fontId="7" fillId="0" borderId="35" xfId="0" applyFont="1" applyFill="1" applyBorder="1" applyAlignment="1">
      <alignment horizontal="center" wrapText="1"/>
    </xf>
    <xf numFmtId="0" fontId="5" fillId="33" borderId="36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0" fontId="5" fillId="33" borderId="30" xfId="0" applyFont="1" applyFill="1" applyBorder="1" applyAlignment="1">
      <alignment horizontal="center" wrapText="1"/>
    </xf>
    <xf numFmtId="0" fontId="7" fillId="34" borderId="23" xfId="0" applyFont="1" applyFill="1" applyBorder="1" applyAlignment="1">
      <alignment horizontal="center" wrapText="1"/>
    </xf>
    <xf numFmtId="180" fontId="7" fillId="0" borderId="11" xfId="0" applyNumberFormat="1" applyFont="1" applyFill="1" applyBorder="1" applyAlignment="1">
      <alignment wrapText="1"/>
    </xf>
    <xf numFmtId="0" fontId="5" fillId="0" borderId="17" xfId="0" applyFont="1" applyFill="1" applyBorder="1" applyAlignment="1" applyProtection="1">
      <alignment horizontal="center"/>
      <protection locked="0"/>
    </xf>
    <xf numFmtId="195" fontId="7" fillId="0" borderId="11" xfId="0" applyNumberFormat="1" applyFont="1" applyFill="1" applyBorder="1" applyAlignment="1">
      <alignment/>
    </xf>
    <xf numFmtId="0" fontId="5" fillId="35" borderId="33" xfId="0" applyFont="1" applyFill="1" applyBorder="1" applyAlignment="1" applyProtection="1">
      <alignment horizontal="center"/>
      <protection locked="0"/>
    </xf>
    <xf numFmtId="0" fontId="5" fillId="35" borderId="32" xfId="0" applyFont="1" applyFill="1" applyBorder="1" applyAlignment="1" applyProtection="1">
      <alignment horizontal="center"/>
      <protection locked="0"/>
    </xf>
    <xf numFmtId="0" fontId="7" fillId="34" borderId="13" xfId="0" applyFont="1" applyFill="1" applyBorder="1" applyAlignment="1">
      <alignment horizontal="center" wrapText="1"/>
    </xf>
    <xf numFmtId="0" fontId="7" fillId="34" borderId="37" xfId="0" applyFont="1" applyFill="1" applyBorder="1" applyAlignment="1">
      <alignment horizontal="center" wrapText="1"/>
    </xf>
    <xf numFmtId="0" fontId="7" fillId="34" borderId="20" xfId="0" applyFont="1" applyFill="1" applyBorder="1" applyAlignment="1">
      <alignment horizontal="center" wrapText="1"/>
    </xf>
    <xf numFmtId="0" fontId="7" fillId="34" borderId="24" xfId="0" applyFont="1" applyFill="1" applyBorder="1" applyAlignment="1">
      <alignment horizontal="center" wrapText="1"/>
    </xf>
    <xf numFmtId="0" fontId="5" fillId="39" borderId="16" xfId="0" applyFont="1" applyFill="1" applyBorder="1" applyAlignment="1" applyProtection="1">
      <alignment/>
      <protection locked="0"/>
    </xf>
    <xf numFmtId="0" fontId="7" fillId="34" borderId="21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7" fillId="34" borderId="29" xfId="0" applyFont="1" applyFill="1" applyBorder="1" applyAlignment="1">
      <alignment/>
    </xf>
    <xf numFmtId="0" fontId="5" fillId="0" borderId="31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wrapText="1"/>
      <protection locked="0"/>
    </xf>
    <xf numFmtId="0" fontId="7" fillId="37" borderId="21" xfId="0" applyFont="1" applyFill="1" applyBorder="1" applyAlignment="1">
      <alignment/>
    </xf>
    <xf numFmtId="0" fontId="7" fillId="34" borderId="19" xfId="0" applyFont="1" applyFill="1" applyBorder="1" applyAlignment="1">
      <alignment/>
    </xf>
    <xf numFmtId="0" fontId="7" fillId="34" borderId="27" xfId="0" applyFont="1" applyFill="1" applyBorder="1" applyAlignment="1">
      <alignment/>
    </xf>
    <xf numFmtId="0" fontId="7" fillId="34" borderId="20" xfId="0" applyFont="1" applyFill="1" applyBorder="1" applyAlignment="1">
      <alignment/>
    </xf>
    <xf numFmtId="0" fontId="5" fillId="33" borderId="38" xfId="0" applyFont="1" applyFill="1" applyBorder="1" applyAlignment="1">
      <alignment horizontal="center" wrapText="1"/>
    </xf>
    <xf numFmtId="0" fontId="5" fillId="33" borderId="25" xfId="0" applyFont="1" applyFill="1" applyBorder="1" applyAlignment="1">
      <alignment horizontal="center" wrapText="1"/>
    </xf>
    <xf numFmtId="0" fontId="7" fillId="0" borderId="39" xfId="0" applyFont="1" applyFill="1" applyBorder="1" applyAlignment="1">
      <alignment horizontal="center" wrapText="1"/>
    </xf>
    <xf numFmtId="0" fontId="5" fillId="0" borderId="14" xfId="0" applyFont="1" applyFill="1" applyBorder="1" applyAlignment="1" applyProtection="1">
      <alignment horizontal="center" vertical="center" textRotation="90" wrapText="1"/>
      <protection locked="0"/>
    </xf>
    <xf numFmtId="0" fontId="7" fillId="0" borderId="40" xfId="0" applyFont="1" applyFill="1" applyBorder="1" applyAlignment="1" applyProtection="1">
      <alignment wrapText="1"/>
      <protection locked="0"/>
    </xf>
    <xf numFmtId="0" fontId="5" fillId="34" borderId="13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5" fillId="0" borderId="13" xfId="0" applyFont="1" applyFill="1" applyBorder="1" applyAlignment="1" applyProtection="1">
      <alignment horizontal="center" wrapText="1"/>
      <protection locked="0"/>
    </xf>
    <xf numFmtId="0" fontId="7" fillId="0" borderId="41" xfId="0" applyFont="1" applyFill="1" applyBorder="1" applyAlignment="1">
      <alignment horizontal="center" wrapText="1"/>
    </xf>
    <xf numFmtId="0" fontId="5" fillId="33" borderId="16" xfId="0" applyFont="1" applyFill="1" applyBorder="1" applyAlignment="1">
      <alignment horizontal="center" wrapText="1"/>
    </xf>
    <xf numFmtId="0" fontId="5" fillId="33" borderId="42" xfId="0" applyFont="1" applyFill="1" applyBorder="1" applyAlignment="1">
      <alignment horizontal="center" wrapText="1"/>
    </xf>
    <xf numFmtId="0" fontId="5" fillId="33" borderId="19" xfId="0" applyFont="1" applyFill="1" applyBorder="1" applyAlignment="1">
      <alignment horizontal="center" wrapText="1"/>
    </xf>
    <xf numFmtId="0" fontId="7" fillId="34" borderId="24" xfId="0" applyFont="1" applyFill="1" applyBorder="1" applyAlignment="1">
      <alignment/>
    </xf>
    <xf numFmtId="0" fontId="7" fillId="38" borderId="13" xfId="0" applyFont="1" applyFill="1" applyBorder="1" applyAlignment="1">
      <alignment/>
    </xf>
    <xf numFmtId="0" fontId="7" fillId="37" borderId="13" xfId="0" applyFont="1" applyFill="1" applyBorder="1" applyAlignment="1">
      <alignment/>
    </xf>
    <xf numFmtId="0" fontId="5" fillId="35" borderId="17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left"/>
      <protection locked="0"/>
    </xf>
    <xf numFmtId="0" fontId="10" fillId="0" borderId="11" xfId="0" applyFont="1" applyFill="1" applyBorder="1" applyAlignment="1">
      <alignment horizontal="center"/>
    </xf>
    <xf numFmtId="0" fontId="10" fillId="0" borderId="11" xfId="0" applyFont="1" applyFill="1" applyBorder="1" applyAlignment="1" applyProtection="1">
      <alignment horizontal="left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/>
      <protection locked="0"/>
    </xf>
    <xf numFmtId="0" fontId="7" fillId="0" borderId="11" xfId="0" applyFont="1" applyFill="1" applyBorder="1" applyAlignment="1">
      <alignment/>
    </xf>
    <xf numFmtId="180" fontId="7" fillId="0" borderId="11" xfId="0" applyNumberFormat="1" applyFont="1" applyFill="1" applyBorder="1" applyAlignment="1">
      <alignment/>
    </xf>
    <xf numFmtId="201" fontId="7" fillId="0" borderId="11" xfId="0" applyNumberFormat="1" applyFont="1" applyFill="1" applyBorder="1" applyAlignment="1">
      <alignment horizontal="center" wrapText="1"/>
    </xf>
    <xf numFmtId="0" fontId="5" fillId="0" borderId="22" xfId="0" applyFont="1" applyFill="1" applyBorder="1" applyAlignment="1" applyProtection="1">
      <alignment horizontal="center" wrapText="1"/>
      <protection locked="0"/>
    </xf>
    <xf numFmtId="0" fontId="5" fillId="0" borderId="43" xfId="0" applyFont="1" applyFill="1" applyBorder="1" applyAlignment="1" applyProtection="1">
      <alignment horizontal="center" wrapText="1"/>
      <protection locked="0"/>
    </xf>
    <xf numFmtId="0" fontId="5" fillId="0" borderId="40" xfId="0" applyFont="1" applyFill="1" applyBorder="1" applyAlignment="1" applyProtection="1">
      <alignment horizontal="center" wrapText="1"/>
      <protection locked="0"/>
    </xf>
    <xf numFmtId="0" fontId="5" fillId="0" borderId="22" xfId="0" applyFont="1" applyFill="1" applyBorder="1" applyAlignment="1" applyProtection="1">
      <alignment horizontal="center" vertical="center" textRotation="90" wrapText="1"/>
      <protection locked="0"/>
    </xf>
    <xf numFmtId="0" fontId="5" fillId="0" borderId="44" xfId="0" applyFont="1" applyFill="1" applyBorder="1" applyAlignment="1" applyProtection="1">
      <alignment horizontal="center" wrapText="1"/>
      <protection locked="0"/>
    </xf>
    <xf numFmtId="180" fontId="7" fillId="0" borderId="11" xfId="0" applyNumberFormat="1" applyFont="1" applyFill="1" applyBorder="1" applyAlignment="1" applyProtection="1">
      <alignment wrapText="1"/>
      <protection locked="0"/>
    </xf>
    <xf numFmtId="201" fontId="7" fillId="0" borderId="11" xfId="0" applyNumberFormat="1" applyFont="1" applyFill="1" applyBorder="1" applyAlignment="1">
      <alignment wrapText="1"/>
    </xf>
    <xf numFmtId="180" fontId="7" fillId="0" borderId="11" xfId="0" applyNumberFormat="1" applyFont="1" applyFill="1" applyBorder="1" applyAlignment="1">
      <alignment horizontal="right" wrapText="1"/>
    </xf>
    <xf numFmtId="0" fontId="7" fillId="40" borderId="11" xfId="0" applyFont="1" applyFill="1" applyBorder="1" applyAlignment="1" applyProtection="1">
      <alignment horizontal="center" wrapText="1"/>
      <protection locked="0"/>
    </xf>
    <xf numFmtId="180" fontId="7" fillId="40" borderId="11" xfId="0" applyNumberFormat="1" applyFont="1" applyFill="1" applyBorder="1" applyAlignment="1" applyProtection="1">
      <alignment horizontal="left" wrapText="1"/>
      <protection locked="0"/>
    </xf>
    <xf numFmtId="0" fontId="5" fillId="40" borderId="11" xfId="0" applyFont="1" applyFill="1" applyBorder="1" applyAlignment="1" applyProtection="1">
      <alignment horizontal="center" wrapText="1"/>
      <protection locked="0"/>
    </xf>
    <xf numFmtId="180" fontId="5" fillId="40" borderId="11" xfId="0" applyNumberFormat="1" applyFont="1" applyFill="1" applyBorder="1" applyAlignment="1" applyProtection="1">
      <alignment wrapText="1"/>
      <protection locked="0"/>
    </xf>
    <xf numFmtId="0" fontId="5" fillId="0" borderId="11" xfId="0" applyNumberFormat="1" applyFont="1" applyFill="1" applyBorder="1" applyAlignment="1" applyProtection="1">
      <alignment horizontal="center" wrapText="1"/>
      <protection locked="0"/>
    </xf>
    <xf numFmtId="3" fontId="7" fillId="0" borderId="11" xfId="0" applyNumberFormat="1" applyFont="1" applyFill="1" applyBorder="1" applyAlignment="1">
      <alignment horizontal="center" wrapText="1"/>
    </xf>
    <xf numFmtId="0" fontId="7" fillId="40" borderId="11" xfId="0" applyFont="1" applyFill="1" applyBorder="1" applyAlignment="1">
      <alignment horizontal="center" wrapText="1"/>
    </xf>
    <xf numFmtId="0" fontId="7" fillId="40" borderId="11" xfId="0" applyFont="1" applyFill="1" applyBorder="1" applyAlignment="1" applyProtection="1">
      <alignment horizontal="left" wrapText="1"/>
      <protection locked="0"/>
    </xf>
    <xf numFmtId="14" fontId="7" fillId="40" borderId="11" xfId="0" applyNumberFormat="1" applyFont="1" applyFill="1" applyBorder="1" applyAlignment="1" applyProtection="1">
      <alignment horizontal="center" wrapText="1"/>
      <protection locked="0"/>
    </xf>
    <xf numFmtId="2" fontId="5" fillId="0" borderId="11" xfId="0" applyNumberFormat="1" applyFont="1" applyFill="1" applyBorder="1" applyAlignment="1" applyProtection="1">
      <alignment horizontal="center" wrapText="1"/>
      <protection locked="0"/>
    </xf>
    <xf numFmtId="0" fontId="5" fillId="40" borderId="11" xfId="0" applyFont="1" applyFill="1" applyBorder="1" applyAlignment="1">
      <alignment horizontal="center" wrapText="1"/>
    </xf>
    <xf numFmtId="0" fontId="5" fillId="4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right" wrapText="1"/>
    </xf>
    <xf numFmtId="0" fontId="5" fillId="0" borderId="11" xfId="0" applyFont="1" applyFill="1" applyBorder="1" applyAlignment="1">
      <alignment wrapText="1"/>
    </xf>
    <xf numFmtId="2" fontId="5" fillId="0" borderId="11" xfId="0" applyNumberFormat="1" applyFont="1" applyFill="1" applyBorder="1" applyAlignment="1">
      <alignment horizontal="center" wrapText="1"/>
    </xf>
    <xf numFmtId="201" fontId="5" fillId="0" borderId="11" xfId="0" applyNumberFormat="1" applyFont="1" applyFill="1" applyBorder="1" applyAlignment="1">
      <alignment horizontal="center" wrapText="1"/>
    </xf>
    <xf numFmtId="195" fontId="5" fillId="0" borderId="11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 applyProtection="1">
      <alignment wrapText="1"/>
      <protection locked="0"/>
    </xf>
    <xf numFmtId="0" fontId="5" fillId="40" borderId="11" xfId="0" applyFont="1" applyFill="1" applyBorder="1" applyAlignment="1" applyProtection="1">
      <alignment horizontal="left" wrapText="1"/>
      <protection locked="0"/>
    </xf>
    <xf numFmtId="0" fontId="5" fillId="40" borderId="11" xfId="0" applyNumberFormat="1" applyFont="1" applyFill="1" applyBorder="1" applyAlignment="1" applyProtection="1">
      <alignment horizontal="center" wrapText="1"/>
      <protection locked="0"/>
    </xf>
    <xf numFmtId="0" fontId="5" fillId="0" borderId="11" xfId="0" applyFont="1" applyFill="1" applyBorder="1" applyAlignment="1" applyProtection="1">
      <alignment/>
      <protection locked="0"/>
    </xf>
    <xf numFmtId="0" fontId="5" fillId="0" borderId="11" xfId="0" applyFont="1" applyFill="1" applyBorder="1" applyAlignment="1">
      <alignment/>
    </xf>
    <xf numFmtId="0" fontId="7" fillId="40" borderId="11" xfId="0" applyFont="1" applyFill="1" applyBorder="1" applyAlignment="1">
      <alignment horizontal="center"/>
    </xf>
    <xf numFmtId="0" fontId="7" fillId="40" borderId="11" xfId="0" applyFont="1" applyFill="1" applyBorder="1" applyAlignment="1" applyProtection="1">
      <alignment horizontal="left"/>
      <protection locked="0"/>
    </xf>
    <xf numFmtId="0" fontId="7" fillId="40" borderId="11" xfId="0" applyFont="1" applyFill="1" applyBorder="1" applyAlignment="1" applyProtection="1">
      <alignment horizontal="center"/>
      <protection locked="0"/>
    </xf>
    <xf numFmtId="0" fontId="5" fillId="40" borderId="11" xfId="0" applyFont="1" applyFill="1" applyBorder="1" applyAlignment="1" applyProtection="1">
      <alignment horizontal="center"/>
      <protection locked="0"/>
    </xf>
    <xf numFmtId="0" fontId="5" fillId="40" borderId="11" xfId="0" applyFont="1" applyFill="1" applyBorder="1" applyAlignment="1" applyProtection="1">
      <alignment/>
      <protection locked="0"/>
    </xf>
    <xf numFmtId="180" fontId="7" fillId="0" borderId="11" xfId="0" applyNumberFormat="1" applyFont="1" applyFill="1" applyBorder="1" applyAlignment="1" applyProtection="1">
      <alignment/>
      <protection locked="0"/>
    </xf>
    <xf numFmtId="0" fontId="11" fillId="0" borderId="11" xfId="0" applyFont="1" applyFill="1" applyBorder="1" applyAlignment="1">
      <alignment/>
    </xf>
    <xf numFmtId="180" fontId="5" fillId="0" borderId="11" xfId="0" applyNumberFormat="1" applyFont="1" applyFill="1" applyBorder="1" applyAlignment="1" applyProtection="1">
      <alignment/>
      <protection locked="0"/>
    </xf>
    <xf numFmtId="2" fontId="5" fillId="0" borderId="11" xfId="0" applyNumberFormat="1" applyFont="1" applyFill="1" applyBorder="1" applyAlignment="1" applyProtection="1">
      <alignment/>
      <protection locked="0"/>
    </xf>
    <xf numFmtId="0" fontId="5" fillId="40" borderId="11" xfId="0" applyFont="1" applyFill="1" applyBorder="1" applyAlignment="1" applyProtection="1">
      <alignment horizontal="left"/>
      <protection locked="0"/>
    </xf>
    <xf numFmtId="180" fontId="5" fillId="40" borderId="11" xfId="0" applyNumberFormat="1" applyFont="1" applyFill="1" applyBorder="1" applyAlignment="1" applyProtection="1">
      <alignment/>
      <protection locked="0"/>
    </xf>
    <xf numFmtId="0" fontId="10" fillId="0" borderId="11" xfId="0" applyFont="1" applyFill="1" applyBorder="1" applyAlignment="1">
      <alignment/>
    </xf>
    <xf numFmtId="2" fontId="10" fillId="0" borderId="11" xfId="0" applyNumberFormat="1" applyFont="1" applyFill="1" applyBorder="1" applyAlignment="1">
      <alignment horizontal="center"/>
    </xf>
    <xf numFmtId="180" fontId="5" fillId="0" borderId="11" xfId="0" applyNumberFormat="1" applyFont="1" applyFill="1" applyBorder="1" applyAlignment="1">
      <alignment horizontal="right"/>
    </xf>
    <xf numFmtId="0" fontId="6" fillId="0" borderId="22" xfId="0" applyFont="1" applyFill="1" applyBorder="1" applyAlignment="1" applyProtection="1">
      <alignment horizontal="center" vertical="center" textRotation="90" wrapText="1"/>
      <protection locked="0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180" fontId="5" fillId="0" borderId="45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wrapText="1"/>
    </xf>
    <xf numFmtId="0" fontId="7" fillId="0" borderId="46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2" fontId="7" fillId="0" borderId="11" xfId="0" applyNumberFormat="1" applyFont="1" applyFill="1" applyBorder="1" applyAlignment="1" applyProtection="1">
      <alignment wrapText="1"/>
      <protection locked="0"/>
    </xf>
    <xf numFmtId="0" fontId="10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7" fillId="0" borderId="12" xfId="0" applyFont="1" applyFill="1" applyBorder="1" applyAlignment="1" applyProtection="1">
      <alignment horizontal="right" wrapText="1"/>
      <protection locked="0"/>
    </xf>
    <xf numFmtId="180" fontId="7" fillId="0" borderId="12" xfId="0" applyNumberFormat="1" applyFont="1" applyFill="1" applyBorder="1" applyAlignment="1">
      <alignment wrapText="1"/>
    </xf>
    <xf numFmtId="180" fontId="7" fillId="0" borderId="12" xfId="0" applyNumberFormat="1" applyFont="1" applyFill="1" applyBorder="1" applyAlignment="1" applyProtection="1">
      <alignment horizontal="right" wrapText="1"/>
      <protection locked="0"/>
    </xf>
    <xf numFmtId="201" fontId="5" fillId="0" borderId="12" xfId="0" applyNumberFormat="1" applyFont="1" applyFill="1" applyBorder="1" applyAlignment="1" applyProtection="1">
      <alignment horizontal="center" wrapText="1"/>
      <protection locked="0"/>
    </xf>
    <xf numFmtId="0" fontId="7" fillId="0" borderId="12" xfId="0" applyFont="1" applyFill="1" applyBorder="1" applyAlignment="1">
      <alignment horizontal="right" wrapText="1"/>
    </xf>
    <xf numFmtId="0" fontId="5" fillId="0" borderId="12" xfId="0" applyFont="1" applyFill="1" applyBorder="1" applyAlignment="1" applyProtection="1">
      <alignment horizontal="center" wrapText="1"/>
      <protection locked="0"/>
    </xf>
    <xf numFmtId="0" fontId="5" fillId="0" borderId="12" xfId="0" applyFont="1" applyFill="1" applyBorder="1" applyAlignment="1">
      <alignment horizontal="right" wrapText="1"/>
    </xf>
    <xf numFmtId="0" fontId="5" fillId="0" borderId="12" xfId="0" applyFont="1" applyFill="1" applyBorder="1" applyAlignment="1">
      <alignment horizontal="center" wrapText="1"/>
    </xf>
    <xf numFmtId="180" fontId="5" fillId="0" borderId="12" xfId="0" applyNumberFormat="1" applyFont="1" applyFill="1" applyBorder="1" applyAlignment="1" applyProtection="1">
      <alignment/>
      <protection locked="0"/>
    </xf>
    <xf numFmtId="0" fontId="7" fillId="0" borderId="47" xfId="0" applyFont="1" applyFill="1" applyBorder="1" applyAlignment="1">
      <alignment horizontal="center" wrapText="1"/>
    </xf>
    <xf numFmtId="180" fontId="7" fillId="0" borderId="21" xfId="0" applyNumberFormat="1" applyFont="1" applyFill="1" applyBorder="1" applyAlignment="1" applyProtection="1">
      <alignment wrapText="1"/>
      <protection locked="0"/>
    </xf>
    <xf numFmtId="0" fontId="7" fillId="0" borderId="47" xfId="0" applyFont="1" applyFill="1" applyBorder="1" applyAlignment="1" applyProtection="1">
      <alignment horizontal="center" wrapText="1"/>
      <protection locked="0"/>
    </xf>
    <xf numFmtId="0" fontId="7" fillId="0" borderId="21" xfId="0" applyFont="1" applyFill="1" applyBorder="1" applyAlignment="1" applyProtection="1">
      <alignment wrapText="1"/>
      <protection locked="0"/>
    </xf>
    <xf numFmtId="0" fontId="7" fillId="40" borderId="47" xfId="0" applyFont="1" applyFill="1" applyBorder="1" applyAlignment="1" applyProtection="1">
      <alignment horizontal="center" wrapText="1"/>
      <protection locked="0"/>
    </xf>
    <xf numFmtId="0" fontId="7" fillId="0" borderId="21" xfId="0" applyFont="1" applyFill="1" applyBorder="1" applyAlignment="1">
      <alignment wrapText="1"/>
    </xf>
    <xf numFmtId="0" fontId="7" fillId="40" borderId="47" xfId="0" applyFont="1" applyFill="1" applyBorder="1" applyAlignment="1">
      <alignment horizontal="center" wrapText="1"/>
    </xf>
    <xf numFmtId="0" fontId="5" fillId="40" borderId="21" xfId="0" applyFont="1" applyFill="1" applyBorder="1" applyAlignment="1" applyProtection="1">
      <alignment wrapText="1"/>
      <protection locked="0"/>
    </xf>
    <xf numFmtId="0" fontId="5" fillId="40" borderId="47" xfId="0" applyFont="1" applyFill="1" applyBorder="1" applyAlignment="1">
      <alignment horizontal="center" wrapText="1"/>
    </xf>
    <xf numFmtId="0" fontId="7" fillId="0" borderId="47" xfId="0" applyFont="1" applyFill="1" applyBorder="1" applyAlignment="1">
      <alignment wrapText="1"/>
    </xf>
    <xf numFmtId="0" fontId="5" fillId="0" borderId="47" xfId="0" applyFont="1" applyFill="1" applyBorder="1" applyAlignment="1">
      <alignment horizontal="center" wrapText="1"/>
    </xf>
    <xf numFmtId="0" fontId="5" fillId="0" borderId="21" xfId="0" applyFont="1" applyFill="1" applyBorder="1" applyAlignment="1" applyProtection="1">
      <alignment wrapText="1"/>
      <protection locked="0"/>
    </xf>
    <xf numFmtId="0" fontId="7" fillId="0" borderId="47" xfId="0" applyFont="1" applyFill="1" applyBorder="1" applyAlignment="1">
      <alignment horizontal="center"/>
    </xf>
    <xf numFmtId="0" fontId="7" fillId="0" borderId="21" xfId="0" applyFont="1" applyFill="1" applyBorder="1" applyAlignment="1" applyProtection="1">
      <alignment/>
      <protection locked="0"/>
    </xf>
    <xf numFmtId="0" fontId="7" fillId="0" borderId="21" xfId="0" applyFont="1" applyFill="1" applyBorder="1" applyAlignment="1">
      <alignment/>
    </xf>
    <xf numFmtId="0" fontId="13" fillId="0" borderId="0" xfId="0" applyFont="1" applyAlignment="1">
      <alignment/>
    </xf>
    <xf numFmtId="0" fontId="7" fillId="0" borderId="47" xfId="0" applyFont="1" applyBorder="1" applyAlignment="1">
      <alignment horizontal="center"/>
    </xf>
    <xf numFmtId="180" fontId="7" fillId="0" borderId="21" xfId="0" applyNumberFormat="1" applyFont="1" applyFill="1" applyBorder="1" applyAlignment="1">
      <alignment/>
    </xf>
    <xf numFmtId="0" fontId="7" fillId="0" borderId="12" xfId="0" applyFont="1" applyFill="1" applyBorder="1" applyAlignment="1" applyProtection="1">
      <alignment horizontal="right"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7" fillId="0" borderId="12" xfId="0" applyFont="1" applyFill="1" applyBorder="1" applyAlignment="1" applyProtection="1">
      <alignment horizontal="center"/>
      <protection locked="0"/>
    </xf>
    <xf numFmtId="4" fontId="5" fillId="0" borderId="12" xfId="0" applyNumberFormat="1" applyFont="1" applyFill="1" applyBorder="1" applyAlignment="1" applyProtection="1">
      <alignment horizontal="center"/>
      <protection locked="0"/>
    </xf>
    <xf numFmtId="0" fontId="7" fillId="40" borderId="47" xfId="0" applyFont="1" applyFill="1" applyBorder="1" applyAlignment="1">
      <alignment horizontal="center"/>
    </xf>
    <xf numFmtId="0" fontId="5" fillId="40" borderId="21" xfId="0" applyFont="1" applyFill="1" applyBorder="1" applyAlignment="1" applyProtection="1">
      <alignment/>
      <protection locked="0"/>
    </xf>
    <xf numFmtId="180" fontId="7" fillId="0" borderId="21" xfId="0" applyNumberFormat="1" applyFont="1" applyFill="1" applyBorder="1" applyAlignment="1" applyProtection="1">
      <alignment/>
      <protection locked="0"/>
    </xf>
    <xf numFmtId="0" fontId="5" fillId="0" borderId="21" xfId="0" applyFont="1" applyFill="1" applyBorder="1" applyAlignment="1" applyProtection="1">
      <alignment/>
      <protection locked="0"/>
    </xf>
    <xf numFmtId="180" fontId="7" fillId="0" borderId="12" xfId="0" applyNumberFormat="1" applyFont="1" applyFill="1" applyBorder="1" applyAlignment="1">
      <alignment horizontal="center"/>
    </xf>
    <xf numFmtId="180" fontId="5" fillId="0" borderId="12" xfId="0" applyNumberFormat="1" applyFont="1" applyFill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0" fontId="5" fillId="40" borderId="11" xfId="0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 wrapText="1"/>
    </xf>
    <xf numFmtId="0" fontId="5" fillId="33" borderId="46" xfId="0" applyFont="1" applyFill="1" applyBorder="1" applyAlignment="1">
      <alignment horizontal="center" wrapText="1"/>
    </xf>
    <xf numFmtId="0" fontId="15" fillId="0" borderId="11" xfId="0" applyFont="1" applyFill="1" applyBorder="1" applyAlignment="1">
      <alignment horizontal="center" wrapText="1"/>
    </xf>
    <xf numFmtId="0" fontId="7" fillId="0" borderId="39" xfId="0" applyFont="1" applyFill="1" applyBorder="1" applyAlignment="1" applyProtection="1">
      <alignment horizontal="center" wrapText="1"/>
      <protection locked="0"/>
    </xf>
    <xf numFmtId="0" fontId="5" fillId="0" borderId="39" xfId="0" applyFont="1" applyFill="1" applyBorder="1" applyAlignment="1" applyProtection="1">
      <alignment horizontal="center" wrapText="1"/>
      <protection locked="0"/>
    </xf>
    <xf numFmtId="0" fontId="7" fillId="0" borderId="39" xfId="0" applyFont="1" applyFill="1" applyBorder="1" applyAlignment="1" applyProtection="1">
      <alignment wrapText="1"/>
      <protection locked="0"/>
    </xf>
    <xf numFmtId="0" fontId="5" fillId="0" borderId="47" xfId="0" applyFont="1" applyFill="1" applyBorder="1" applyAlignment="1">
      <alignment horizontal="center"/>
    </xf>
    <xf numFmtId="0" fontId="5" fillId="40" borderId="47" xfId="0" applyFont="1" applyFill="1" applyBorder="1" applyAlignment="1">
      <alignment horizontal="center"/>
    </xf>
    <xf numFmtId="0" fontId="10" fillId="0" borderId="21" xfId="0" applyFont="1" applyFill="1" applyBorder="1" applyAlignment="1">
      <alignment/>
    </xf>
    <xf numFmtId="0" fontId="5" fillId="40" borderId="21" xfId="0" applyFont="1" applyFill="1" applyBorder="1" applyAlignment="1">
      <alignment/>
    </xf>
    <xf numFmtId="180" fontId="5" fillId="40" borderId="11" xfId="0" applyNumberFormat="1" applyFont="1" applyFill="1" applyBorder="1" applyAlignment="1">
      <alignment/>
    </xf>
    <xf numFmtId="0" fontId="5" fillId="40" borderId="12" xfId="0" applyFont="1" applyFill="1" applyBorder="1" applyAlignment="1">
      <alignment horizontal="center" wrapText="1"/>
    </xf>
    <xf numFmtId="0" fontId="5" fillId="40" borderId="12" xfId="0" applyNumberFormat="1" applyFont="1" applyFill="1" applyBorder="1" applyAlignment="1" applyProtection="1">
      <alignment horizontal="center" wrapText="1"/>
      <protection locked="0"/>
    </xf>
    <xf numFmtId="0" fontId="5" fillId="40" borderId="21" xfId="0" applyFont="1" applyFill="1" applyBorder="1" applyAlignment="1" applyProtection="1">
      <alignment horizontal="center" wrapText="1"/>
      <protection locked="0"/>
    </xf>
    <xf numFmtId="0" fontId="5" fillId="40" borderId="21" xfId="0" applyFont="1" applyFill="1" applyBorder="1" applyAlignment="1">
      <alignment horizontal="center" wrapText="1"/>
    </xf>
    <xf numFmtId="0" fontId="5" fillId="40" borderId="21" xfId="0" applyFont="1" applyFill="1" applyBorder="1" applyAlignment="1" applyProtection="1">
      <alignment horizontal="center"/>
      <protection locked="0"/>
    </xf>
    <xf numFmtId="2" fontId="5" fillId="40" borderId="11" xfId="0" applyNumberFormat="1" applyFont="1" applyFill="1" applyBorder="1" applyAlignment="1" applyProtection="1">
      <alignment horizontal="center" wrapText="1"/>
      <protection locked="0"/>
    </xf>
    <xf numFmtId="180" fontId="5" fillId="40" borderId="11" xfId="0" applyNumberFormat="1" applyFont="1" applyFill="1" applyBorder="1" applyAlignment="1">
      <alignment horizontal="center" wrapText="1"/>
    </xf>
    <xf numFmtId="0" fontId="5" fillId="0" borderId="49" xfId="0" applyFont="1" applyBorder="1" applyAlignment="1">
      <alignment/>
    </xf>
    <xf numFmtId="0" fontId="5" fillId="0" borderId="50" xfId="0" applyFont="1" applyBorder="1" applyAlignment="1">
      <alignment/>
    </xf>
    <xf numFmtId="0" fontId="5" fillId="0" borderId="50" xfId="0" applyFont="1" applyBorder="1" applyAlignment="1">
      <alignment horizontal="center"/>
    </xf>
    <xf numFmtId="180" fontId="5" fillId="0" borderId="50" xfId="0" applyNumberFormat="1" applyFont="1" applyBorder="1" applyAlignment="1">
      <alignment horizontal="center"/>
    </xf>
    <xf numFmtId="180" fontId="5" fillId="0" borderId="51" xfId="0" applyNumberFormat="1" applyFont="1" applyBorder="1" applyAlignment="1">
      <alignment horizontal="center"/>
    </xf>
    <xf numFmtId="0" fontId="5" fillId="0" borderId="33" xfId="0" applyFont="1" applyFill="1" applyBorder="1" applyAlignment="1" applyProtection="1">
      <alignment horizontal="center"/>
      <protection locked="0"/>
    </xf>
    <xf numFmtId="0" fontId="7" fillId="0" borderId="49" xfId="0" applyFont="1" applyFill="1" applyBorder="1" applyAlignment="1">
      <alignment/>
    </xf>
    <xf numFmtId="0" fontId="5" fillId="0" borderId="50" xfId="0" applyFont="1" applyFill="1" applyBorder="1" applyAlignment="1">
      <alignment horizontal="center"/>
    </xf>
    <xf numFmtId="0" fontId="5" fillId="0" borderId="50" xfId="0" applyFont="1" applyFill="1" applyBorder="1" applyAlignment="1" applyProtection="1">
      <alignment horizontal="left"/>
      <protection locked="0"/>
    </xf>
    <xf numFmtId="0" fontId="5" fillId="0" borderId="50" xfId="0" applyFont="1" applyFill="1" applyBorder="1" applyAlignment="1" applyProtection="1">
      <alignment horizontal="center"/>
      <protection locked="0"/>
    </xf>
    <xf numFmtId="0" fontId="5" fillId="0" borderId="50" xfId="0" applyFont="1" applyFill="1" applyBorder="1" applyAlignment="1">
      <alignment horizontal="right"/>
    </xf>
    <xf numFmtId="180" fontId="5" fillId="0" borderId="50" xfId="0" applyNumberFormat="1" applyFont="1" applyFill="1" applyBorder="1" applyAlignment="1" applyProtection="1">
      <alignment/>
      <protection locked="0"/>
    </xf>
    <xf numFmtId="0" fontId="5" fillId="0" borderId="50" xfId="0" applyFont="1" applyFill="1" applyBorder="1" applyAlignment="1" applyProtection="1">
      <alignment/>
      <protection locked="0"/>
    </xf>
    <xf numFmtId="180" fontId="5" fillId="0" borderId="51" xfId="0" applyNumberFormat="1" applyFont="1" applyFill="1" applyBorder="1" applyAlignment="1">
      <alignment/>
    </xf>
    <xf numFmtId="0" fontId="5" fillId="0" borderId="21" xfId="0" applyFont="1" applyFill="1" applyBorder="1" applyAlignment="1">
      <alignment horizontal="center" wrapText="1"/>
    </xf>
    <xf numFmtId="0" fontId="7" fillId="0" borderId="52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left"/>
    </xf>
    <xf numFmtId="0" fontId="7" fillId="0" borderId="33" xfId="0" applyFont="1" applyFill="1" applyBorder="1" applyAlignment="1">
      <alignment horizontal="center"/>
    </xf>
    <xf numFmtId="0" fontId="7" fillId="0" borderId="33" xfId="0" applyFont="1" applyFill="1" applyBorder="1" applyAlignment="1" applyProtection="1">
      <alignment horizontal="left"/>
      <protection locked="0"/>
    </xf>
    <xf numFmtId="0" fontId="7" fillId="0" borderId="33" xfId="0" applyFont="1" applyFill="1" applyBorder="1" applyAlignment="1" applyProtection="1">
      <alignment horizontal="center"/>
      <protection locked="0"/>
    </xf>
    <xf numFmtId="180" fontId="7" fillId="0" borderId="33" xfId="0" applyNumberFormat="1" applyFont="1" applyFill="1" applyBorder="1" applyAlignment="1" applyProtection="1">
      <alignment/>
      <protection locked="0"/>
    </xf>
    <xf numFmtId="0" fontId="7" fillId="0" borderId="33" xfId="0" applyFont="1" applyFill="1" applyBorder="1" applyAlignment="1" applyProtection="1">
      <alignment/>
      <protection locked="0"/>
    </xf>
    <xf numFmtId="0" fontId="7" fillId="0" borderId="53" xfId="0" applyFont="1" applyFill="1" applyBorder="1" applyAlignment="1">
      <alignment/>
    </xf>
    <xf numFmtId="0" fontId="7" fillId="0" borderId="43" xfId="0" applyFont="1" applyBorder="1" applyAlignment="1">
      <alignment/>
    </xf>
    <xf numFmtId="0" fontId="7" fillId="0" borderId="44" xfId="0" applyFont="1" applyBorder="1" applyAlignment="1">
      <alignment/>
    </xf>
    <xf numFmtId="0" fontId="9" fillId="0" borderId="44" xfId="0" applyFont="1" applyBorder="1" applyAlignment="1">
      <alignment/>
    </xf>
    <xf numFmtId="0" fontId="13" fillId="0" borderId="44" xfId="0" applyFont="1" applyBorder="1" applyAlignment="1">
      <alignment/>
    </xf>
    <xf numFmtId="0" fontId="13" fillId="0" borderId="44" xfId="0" applyFont="1" applyBorder="1" applyAlignment="1">
      <alignment/>
    </xf>
    <xf numFmtId="0" fontId="7" fillId="0" borderId="44" xfId="0" applyFont="1" applyBorder="1" applyAlignment="1">
      <alignment/>
    </xf>
    <xf numFmtId="0" fontId="7" fillId="0" borderId="40" xfId="0" applyFont="1" applyBorder="1" applyAlignment="1">
      <alignment/>
    </xf>
    <xf numFmtId="0" fontId="7" fillId="0" borderId="54" xfId="0" applyFont="1" applyBorder="1" applyAlignment="1">
      <alignment/>
    </xf>
    <xf numFmtId="0" fontId="7" fillId="0" borderId="48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48" xfId="0" applyFont="1" applyBorder="1" applyAlignment="1">
      <alignment horizontal="right"/>
    </xf>
    <xf numFmtId="0" fontId="7" fillId="0" borderId="48" xfId="0" applyFont="1" applyBorder="1" applyAlignment="1">
      <alignment/>
    </xf>
    <xf numFmtId="0" fontId="7" fillId="0" borderId="55" xfId="0" applyFont="1" applyFill="1" applyBorder="1" applyAlignment="1" applyProtection="1">
      <alignment horizontal="center" wrapText="1"/>
      <protection locked="0"/>
    </xf>
    <xf numFmtId="0" fontId="7" fillId="0" borderId="56" xfId="0" applyFont="1" applyFill="1" applyBorder="1" applyAlignment="1" applyProtection="1">
      <alignment horizontal="center" wrapText="1"/>
      <protection locked="0"/>
    </xf>
    <xf numFmtId="0" fontId="5" fillId="0" borderId="56" xfId="0" applyFont="1" applyFill="1" applyBorder="1" applyAlignment="1" applyProtection="1">
      <alignment horizontal="center" wrapText="1"/>
      <protection locked="0"/>
    </xf>
    <xf numFmtId="0" fontId="7" fillId="0" borderId="56" xfId="0" applyFont="1" applyFill="1" applyBorder="1" applyAlignment="1" applyProtection="1">
      <alignment wrapText="1"/>
      <protection locked="0"/>
    </xf>
    <xf numFmtId="201" fontId="7" fillId="0" borderId="56" xfId="0" applyNumberFormat="1" applyFont="1" applyFill="1" applyBorder="1" applyAlignment="1" applyProtection="1">
      <alignment wrapText="1"/>
      <protection locked="0"/>
    </xf>
    <xf numFmtId="0" fontId="7" fillId="0" borderId="38" xfId="0" applyFont="1" applyFill="1" applyBorder="1" applyAlignment="1" applyProtection="1">
      <alignment wrapText="1"/>
      <protection locked="0"/>
    </xf>
    <xf numFmtId="0" fontId="7" fillId="0" borderId="57" xfId="0" applyFont="1" applyFill="1" applyBorder="1" applyAlignment="1">
      <alignment horizontal="center" wrapText="1"/>
    </xf>
    <xf numFmtId="0" fontId="7" fillId="0" borderId="39" xfId="0" applyFont="1" applyFill="1" applyBorder="1" applyAlignment="1" applyProtection="1">
      <alignment horizontal="left" wrapText="1"/>
      <protection locked="0"/>
    </xf>
    <xf numFmtId="2" fontId="7" fillId="0" borderId="39" xfId="0" applyNumberFormat="1" applyFont="1" applyFill="1" applyBorder="1" applyAlignment="1" applyProtection="1">
      <alignment wrapText="1"/>
      <protection locked="0"/>
    </xf>
    <xf numFmtId="180" fontId="7" fillId="0" borderId="18" xfId="0" applyNumberFormat="1" applyFont="1" applyFill="1" applyBorder="1" applyAlignment="1" applyProtection="1">
      <alignment wrapText="1"/>
      <protection locked="0"/>
    </xf>
    <xf numFmtId="0" fontId="7" fillId="0" borderId="37" xfId="0" applyFont="1" applyFill="1" applyBorder="1" applyAlignment="1">
      <alignment/>
    </xf>
    <xf numFmtId="180" fontId="5" fillId="40" borderId="21" xfId="0" applyNumberFormat="1" applyFont="1" applyFill="1" applyBorder="1" applyAlignment="1" applyProtection="1">
      <alignment horizontal="center" wrapText="1"/>
      <protection locked="0"/>
    </xf>
    <xf numFmtId="180" fontId="5" fillId="40" borderId="11" xfId="0" applyNumberFormat="1" applyFont="1" applyFill="1" applyBorder="1" applyAlignment="1" applyProtection="1">
      <alignment horizont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58" xfId="0" applyFont="1" applyFill="1" applyBorder="1" applyAlignment="1" applyProtection="1">
      <alignment horizontal="center" vertical="center" wrapText="1"/>
      <protection locked="0"/>
    </xf>
    <xf numFmtId="0" fontId="5" fillId="0" borderId="59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textRotation="90" wrapText="1"/>
      <protection locked="0"/>
    </xf>
    <xf numFmtId="0" fontId="7" fillId="0" borderId="58" xfId="0" applyFont="1" applyFill="1" applyBorder="1" applyAlignment="1">
      <alignment horizontal="center" vertical="center" textRotation="90" wrapText="1"/>
    </xf>
    <xf numFmtId="0" fontId="7" fillId="0" borderId="59" xfId="0" applyFont="1" applyFill="1" applyBorder="1" applyAlignment="1">
      <alignment horizontal="center" vertical="center" textRotation="90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 applyProtection="1">
      <alignment horizontal="center" vertical="center" wrapText="1"/>
      <protection locked="0"/>
    </xf>
    <xf numFmtId="0" fontId="5" fillId="0" borderId="40" xfId="0" applyFont="1" applyFill="1" applyBorder="1" applyAlignment="1" applyProtection="1">
      <alignment horizontal="center" vertical="center" wrapText="1"/>
      <protection locked="0"/>
    </xf>
    <xf numFmtId="0" fontId="5" fillId="0" borderId="60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61" xfId="0" applyFont="1" applyFill="1" applyBorder="1" applyAlignment="1" applyProtection="1">
      <alignment horizontal="center" wrapText="1"/>
      <protection locked="0"/>
    </xf>
    <xf numFmtId="0" fontId="5" fillId="0" borderId="15" xfId="0" applyFont="1" applyFill="1" applyBorder="1" applyAlignment="1" applyProtection="1">
      <alignment horizontal="center" wrapText="1"/>
      <protection locked="0"/>
    </xf>
    <xf numFmtId="0" fontId="5" fillId="0" borderId="16" xfId="0" applyFont="1" applyFill="1" applyBorder="1" applyAlignment="1" applyProtection="1">
      <alignment horizontal="center" wrapText="1"/>
      <protection locked="0"/>
    </xf>
    <xf numFmtId="0" fontId="5" fillId="0" borderId="22" xfId="0" applyFont="1" applyFill="1" applyBorder="1" applyAlignment="1" applyProtection="1">
      <alignment horizontal="center" textRotation="90" wrapText="1"/>
      <protection locked="0"/>
    </xf>
    <xf numFmtId="0" fontId="5" fillId="0" borderId="58" xfId="0" applyFont="1" applyFill="1" applyBorder="1" applyAlignment="1" applyProtection="1">
      <alignment horizontal="center" textRotation="90" wrapText="1"/>
      <protection locked="0"/>
    </xf>
    <xf numFmtId="0" fontId="5" fillId="0" borderId="59" xfId="0" applyFont="1" applyFill="1" applyBorder="1" applyAlignment="1" applyProtection="1">
      <alignment horizontal="center" textRotation="90" wrapText="1"/>
      <protection locked="0"/>
    </xf>
    <xf numFmtId="0" fontId="7" fillId="0" borderId="43" xfId="0" applyFont="1" applyFill="1" applyBorder="1" applyAlignment="1" applyProtection="1">
      <alignment horizontal="center" wrapText="1"/>
      <protection locked="0"/>
    </xf>
    <xf numFmtId="0" fontId="7" fillId="0" borderId="22" xfId="0" applyFont="1" applyFill="1" applyBorder="1" applyAlignment="1" applyProtection="1">
      <alignment horizontal="center" wrapText="1"/>
      <protection locked="0"/>
    </xf>
    <xf numFmtId="0" fontId="7" fillId="0" borderId="60" xfId="0" applyFont="1" applyFill="1" applyBorder="1" applyAlignment="1" applyProtection="1">
      <alignment horizontal="center" wrapText="1"/>
      <protection locked="0"/>
    </xf>
    <xf numFmtId="0" fontId="7" fillId="0" borderId="59" xfId="0" applyFont="1" applyFill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32" xfId="0" applyFont="1" applyFill="1" applyBorder="1" applyAlignment="1" applyProtection="1">
      <alignment horizontal="center"/>
      <protection locked="0"/>
    </xf>
    <xf numFmtId="0" fontId="9" fillId="0" borderId="54" xfId="0" applyFont="1" applyFill="1" applyBorder="1" applyAlignment="1" applyProtection="1">
      <alignment horizontal="center"/>
      <protection locked="0"/>
    </xf>
    <xf numFmtId="0" fontId="9" fillId="0" borderId="48" xfId="0" applyFont="1" applyFill="1" applyBorder="1" applyAlignment="1" applyProtection="1">
      <alignment horizontal="center"/>
      <protection locked="0"/>
    </xf>
    <xf numFmtId="0" fontId="9" fillId="0" borderId="60" xfId="0" applyFont="1" applyFill="1" applyBorder="1" applyAlignment="1" applyProtection="1">
      <alignment horizontal="center"/>
      <protection locked="0"/>
    </xf>
    <xf numFmtId="0" fontId="9" fillId="0" borderId="17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95"/>
  <sheetViews>
    <sheetView tabSelected="1" zoomScale="85" zoomScaleNormal="85" zoomScalePageLayoutView="0" workbookViewId="0" topLeftCell="A196">
      <selection activeCell="AI275" sqref="AI275"/>
    </sheetView>
  </sheetViews>
  <sheetFormatPr defaultColWidth="9.00390625" defaultRowHeight="12.75"/>
  <cols>
    <col min="1" max="1" width="5.875" style="175" customWidth="1"/>
    <col min="2" max="2" width="7.625" style="175" customWidth="1"/>
    <col min="3" max="3" width="5.625" style="175" customWidth="1"/>
    <col min="4" max="4" width="13.625" style="175" customWidth="1"/>
    <col min="5" max="5" width="6.75390625" style="175" customWidth="1"/>
    <col min="6" max="6" width="6.25390625" style="175" customWidth="1"/>
    <col min="7" max="7" width="9.125" style="175" customWidth="1"/>
    <col min="8" max="8" width="5.125" style="175" customWidth="1"/>
    <col min="9" max="9" width="4.875" style="175" customWidth="1"/>
    <col min="10" max="10" width="5.00390625" style="175" customWidth="1"/>
    <col min="11" max="11" width="4.625" style="175" customWidth="1"/>
    <col min="12" max="12" width="6.625" style="175" customWidth="1"/>
    <col min="13" max="13" width="6.75390625" style="175" customWidth="1"/>
    <col min="14" max="14" width="9.25390625" style="176" customWidth="1"/>
    <col min="15" max="15" width="9.00390625" style="176" customWidth="1"/>
    <col min="16" max="16" width="11.25390625" style="176" customWidth="1"/>
    <col min="17" max="26" width="9.125" style="175" hidden="1" customWidth="1"/>
    <col min="27" max="27" width="10.375" style="175" hidden="1" customWidth="1"/>
    <col min="28" max="28" width="13.125" style="175" hidden="1" customWidth="1"/>
    <col min="29" max="29" width="9.875" style="175" hidden="1" customWidth="1"/>
    <col min="30" max="16384" width="9.125" style="175" customWidth="1"/>
  </cols>
  <sheetData>
    <row r="1" spans="1:16" ht="15.75">
      <c r="A1" s="268"/>
      <c r="B1" s="269"/>
      <c r="C1" s="269"/>
      <c r="D1" s="269"/>
      <c r="E1" s="269"/>
      <c r="F1" s="269"/>
      <c r="G1" s="269"/>
      <c r="H1" s="269"/>
      <c r="I1" s="269"/>
      <c r="J1" s="270" t="s">
        <v>215</v>
      </c>
      <c r="K1" s="271"/>
      <c r="L1" s="272"/>
      <c r="M1" s="272"/>
      <c r="N1" s="272"/>
      <c r="O1" s="273"/>
      <c r="P1" s="274"/>
    </row>
    <row r="2" spans="1:16" ht="15.75">
      <c r="A2" s="275"/>
      <c r="B2" s="177"/>
      <c r="C2" s="177"/>
      <c r="D2" s="177"/>
      <c r="E2" s="177"/>
      <c r="F2" s="177"/>
      <c r="G2" s="177"/>
      <c r="H2" s="177"/>
      <c r="I2" s="177"/>
      <c r="J2" s="170" t="s">
        <v>216</v>
      </c>
      <c r="K2" s="170"/>
      <c r="L2" s="171"/>
      <c r="M2" s="171"/>
      <c r="N2" s="171"/>
      <c r="O2" s="177"/>
      <c r="P2" s="276"/>
    </row>
    <row r="3" spans="1:16" ht="15.75">
      <c r="A3" s="275"/>
      <c r="B3" s="177"/>
      <c r="C3" s="177"/>
      <c r="D3" s="177"/>
      <c r="E3" s="177"/>
      <c r="F3" s="177"/>
      <c r="G3" s="177"/>
      <c r="H3" s="177"/>
      <c r="I3" s="177"/>
      <c r="J3" s="170" t="s">
        <v>217</v>
      </c>
      <c r="K3" s="170"/>
      <c r="L3" s="171"/>
      <c r="M3" s="171"/>
      <c r="N3" s="177"/>
      <c r="O3" s="277"/>
      <c r="P3" s="278" t="s">
        <v>218</v>
      </c>
    </row>
    <row r="4" spans="1:16" ht="15.75">
      <c r="A4" s="275"/>
      <c r="B4" s="177"/>
      <c r="C4" s="177"/>
      <c r="D4" s="177"/>
      <c r="E4" s="177"/>
      <c r="F4" s="177"/>
      <c r="G4" s="177"/>
      <c r="H4" s="177"/>
      <c r="I4" s="177"/>
      <c r="J4" s="170"/>
      <c r="K4" s="170"/>
      <c r="L4" s="171"/>
      <c r="M4" s="171"/>
      <c r="N4" s="177"/>
      <c r="O4" s="277"/>
      <c r="P4" s="278"/>
    </row>
    <row r="5" spans="1:17" ht="15.75">
      <c r="A5" s="275"/>
      <c r="B5" s="177"/>
      <c r="C5" s="177"/>
      <c r="D5" s="177"/>
      <c r="E5" s="177"/>
      <c r="F5" s="177"/>
      <c r="G5" s="177"/>
      <c r="H5" s="177"/>
      <c r="I5" s="177"/>
      <c r="J5" s="170" t="s">
        <v>213</v>
      </c>
      <c r="K5" s="170"/>
      <c r="L5" s="170"/>
      <c r="M5" s="170"/>
      <c r="N5" s="171"/>
      <c r="O5" s="177"/>
      <c r="P5" s="276"/>
      <c r="Q5" s="176"/>
    </row>
    <row r="6" spans="1:17" ht="15.75">
      <c r="A6" s="275"/>
      <c r="B6" s="177"/>
      <c r="C6" s="177"/>
      <c r="D6" s="177"/>
      <c r="E6" s="177"/>
      <c r="F6" s="177"/>
      <c r="G6" s="177"/>
      <c r="H6" s="177"/>
      <c r="I6" s="177"/>
      <c r="J6" s="170" t="s">
        <v>214</v>
      </c>
      <c r="K6" s="170"/>
      <c r="L6" s="170"/>
      <c r="M6" s="170"/>
      <c r="N6" s="171"/>
      <c r="O6" s="177"/>
      <c r="P6" s="276"/>
      <c r="Q6" s="176"/>
    </row>
    <row r="7" spans="1:16" ht="12.75">
      <c r="A7" s="275"/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8"/>
      <c r="O7" s="178"/>
      <c r="P7" s="279"/>
    </row>
    <row r="8" spans="1:16" ht="12.75">
      <c r="A8" s="275"/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8"/>
      <c r="O8" s="178"/>
      <c r="P8" s="279"/>
    </row>
    <row r="9" spans="1:28" ht="18.75" customHeight="1">
      <c r="A9" s="317" t="s">
        <v>201</v>
      </c>
      <c r="B9" s="315"/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8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</row>
    <row r="10" spans="1:28" ht="21.75" customHeight="1" thickBot="1">
      <c r="A10" s="319" t="s">
        <v>225</v>
      </c>
      <c r="B10" s="316"/>
      <c r="C10" s="316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20"/>
      <c r="S10" s="57"/>
      <c r="T10" s="57"/>
      <c r="U10" s="57"/>
      <c r="V10" s="57"/>
      <c r="W10" s="57"/>
      <c r="X10" s="57"/>
      <c r="Y10" s="57"/>
      <c r="Z10" s="57"/>
      <c r="AA10" s="57"/>
      <c r="AB10" s="57"/>
    </row>
    <row r="11" spans="1:28" ht="13.5" customHeight="1" thickBot="1">
      <c r="A11" s="293" t="s">
        <v>163</v>
      </c>
      <c r="B11" s="296" t="s">
        <v>159</v>
      </c>
      <c r="C11" s="296" t="s">
        <v>174</v>
      </c>
      <c r="D11" s="293" t="s">
        <v>166</v>
      </c>
      <c r="E11" s="296" t="s">
        <v>158</v>
      </c>
      <c r="F11" s="296" t="s">
        <v>153</v>
      </c>
      <c r="G11" s="296" t="s">
        <v>177</v>
      </c>
      <c r="H11" s="296" t="s">
        <v>154</v>
      </c>
      <c r="I11" s="296" t="s">
        <v>155</v>
      </c>
      <c r="J11" s="296" t="s">
        <v>156</v>
      </c>
      <c r="K11" s="296" t="s">
        <v>157</v>
      </c>
      <c r="L11" s="299" t="s">
        <v>171</v>
      </c>
      <c r="M11" s="299" t="s">
        <v>175</v>
      </c>
      <c r="N11" s="296" t="s">
        <v>202</v>
      </c>
      <c r="O11" s="301" t="s">
        <v>1</v>
      </c>
      <c r="P11" s="302"/>
      <c r="Q11" s="306" t="s">
        <v>0</v>
      </c>
      <c r="R11" s="306"/>
      <c r="S11" s="306"/>
      <c r="T11" s="306"/>
      <c r="U11" s="306"/>
      <c r="V11" s="306"/>
      <c r="W11" s="307"/>
      <c r="X11" s="308" t="s">
        <v>162</v>
      </c>
      <c r="Y11" s="308" t="s">
        <v>211</v>
      </c>
      <c r="Z11" s="308" t="s">
        <v>212</v>
      </c>
      <c r="AA11" s="311" t="s">
        <v>169</v>
      </c>
      <c r="AB11" s="312"/>
    </row>
    <row r="12" spans="1:28" ht="22.5" customHeight="1" thickBot="1">
      <c r="A12" s="294"/>
      <c r="B12" s="297"/>
      <c r="C12" s="297" t="s">
        <v>36</v>
      </c>
      <c r="D12" s="294"/>
      <c r="E12" s="297"/>
      <c r="F12" s="297"/>
      <c r="G12" s="297"/>
      <c r="H12" s="297"/>
      <c r="I12" s="297"/>
      <c r="J12" s="297"/>
      <c r="K12" s="297"/>
      <c r="L12" s="300"/>
      <c r="M12" s="300"/>
      <c r="N12" s="297"/>
      <c r="O12" s="303"/>
      <c r="P12" s="304"/>
      <c r="Q12" s="306" t="s">
        <v>176</v>
      </c>
      <c r="R12" s="307"/>
      <c r="S12" s="305" t="s">
        <v>27</v>
      </c>
      <c r="T12" s="307"/>
      <c r="U12" s="32" t="s">
        <v>165</v>
      </c>
      <c r="V12" s="308" t="s">
        <v>160</v>
      </c>
      <c r="W12" s="308" t="s">
        <v>161</v>
      </c>
      <c r="X12" s="309"/>
      <c r="Y12" s="309"/>
      <c r="Z12" s="309"/>
      <c r="AA12" s="313"/>
      <c r="AB12" s="314"/>
    </row>
    <row r="13" spans="1:28" ht="58.5" customHeight="1" thickBot="1">
      <c r="A13" s="295"/>
      <c r="B13" s="298"/>
      <c r="C13" s="298" t="s">
        <v>37</v>
      </c>
      <c r="D13" s="295"/>
      <c r="E13" s="298"/>
      <c r="F13" s="298"/>
      <c r="G13" s="298"/>
      <c r="H13" s="298"/>
      <c r="I13" s="298"/>
      <c r="J13" s="298"/>
      <c r="K13" s="298"/>
      <c r="L13" s="169" t="s">
        <v>170</v>
      </c>
      <c r="M13" s="127" t="s">
        <v>172</v>
      </c>
      <c r="N13" s="298"/>
      <c r="O13" s="101" t="s">
        <v>2</v>
      </c>
      <c r="P13" s="101" t="s">
        <v>173</v>
      </c>
      <c r="Q13" s="12" t="s">
        <v>2</v>
      </c>
      <c r="R13" s="11" t="s">
        <v>173</v>
      </c>
      <c r="S13" s="12" t="s">
        <v>2</v>
      </c>
      <c r="T13" s="11" t="s">
        <v>173</v>
      </c>
      <c r="U13" s="11" t="s">
        <v>2</v>
      </c>
      <c r="V13" s="310"/>
      <c r="W13" s="310"/>
      <c r="X13" s="310"/>
      <c r="Y13" s="310"/>
      <c r="Z13" s="310"/>
      <c r="AA13" s="29" t="s">
        <v>149</v>
      </c>
      <c r="AB13" s="13" t="s">
        <v>148</v>
      </c>
    </row>
    <row r="14" spans="1:28" ht="13.5" thickBot="1">
      <c r="A14" s="9">
        <v>1</v>
      </c>
      <c r="B14" s="9">
        <v>2</v>
      </c>
      <c r="C14" s="9">
        <v>3</v>
      </c>
      <c r="D14" s="9">
        <v>3</v>
      </c>
      <c r="E14" s="9">
        <v>4</v>
      </c>
      <c r="F14" s="9">
        <v>5</v>
      </c>
      <c r="G14" s="9">
        <v>6</v>
      </c>
      <c r="H14" s="9">
        <v>7</v>
      </c>
      <c r="I14" s="9">
        <v>8</v>
      </c>
      <c r="J14" s="9">
        <v>9</v>
      </c>
      <c r="K14" s="9">
        <v>10</v>
      </c>
      <c r="L14" s="9">
        <v>11</v>
      </c>
      <c r="M14" s="9">
        <v>12</v>
      </c>
      <c r="N14" s="9">
        <v>13</v>
      </c>
      <c r="O14" s="9">
        <v>14</v>
      </c>
      <c r="P14" s="9">
        <v>15</v>
      </c>
      <c r="Q14" s="126">
        <v>19</v>
      </c>
      <c r="R14" s="124">
        <v>20</v>
      </c>
      <c r="S14" s="126">
        <v>21</v>
      </c>
      <c r="T14" s="125">
        <v>22</v>
      </c>
      <c r="U14" s="124">
        <v>23</v>
      </c>
      <c r="V14" s="128">
        <v>24</v>
      </c>
      <c r="W14" s="124">
        <v>25</v>
      </c>
      <c r="X14" s="128">
        <v>26</v>
      </c>
      <c r="Y14" s="124">
        <v>27</v>
      </c>
      <c r="Z14" s="126">
        <v>28</v>
      </c>
      <c r="AA14" s="28">
        <v>29</v>
      </c>
      <c r="AB14" s="10">
        <v>30</v>
      </c>
    </row>
    <row r="15" spans="1:28" ht="13.5" thickBot="1">
      <c r="A15" s="280"/>
      <c r="B15" s="281"/>
      <c r="C15" s="281"/>
      <c r="D15" s="282" t="s">
        <v>3</v>
      </c>
      <c r="E15" s="281"/>
      <c r="F15" s="281"/>
      <c r="G15" s="281"/>
      <c r="H15" s="281"/>
      <c r="I15" s="281"/>
      <c r="J15" s="281"/>
      <c r="K15" s="281"/>
      <c r="L15" s="281"/>
      <c r="M15" s="281"/>
      <c r="N15" s="283"/>
      <c r="O15" s="284"/>
      <c r="P15" s="285" t="s">
        <v>4</v>
      </c>
      <c r="Q15" s="184"/>
      <c r="R15" s="66"/>
      <c r="S15" s="3"/>
      <c r="T15" s="3"/>
      <c r="U15" s="7"/>
      <c r="V15" s="14"/>
      <c r="W15" s="14"/>
      <c r="X15" s="14"/>
      <c r="Y15" s="14"/>
      <c r="Z15" s="14"/>
      <c r="AA15" s="102"/>
      <c r="AB15" s="1"/>
    </row>
    <row r="16" spans="1:29" ht="12.75">
      <c r="A16" s="286">
        <v>1</v>
      </c>
      <c r="B16" s="100">
        <v>1981</v>
      </c>
      <c r="C16" s="100" t="s">
        <v>5</v>
      </c>
      <c r="D16" s="287" t="s">
        <v>6</v>
      </c>
      <c r="E16" s="231">
        <v>15</v>
      </c>
      <c r="F16" s="231" t="s">
        <v>7</v>
      </c>
      <c r="G16" s="231">
        <v>8</v>
      </c>
      <c r="H16" s="230">
        <v>5</v>
      </c>
      <c r="I16" s="230">
        <v>1</v>
      </c>
      <c r="J16" s="230">
        <v>6</v>
      </c>
      <c r="K16" s="230"/>
      <c r="L16" s="230">
        <v>84</v>
      </c>
      <c r="M16" s="100">
        <v>244</v>
      </c>
      <c r="N16" s="288">
        <v>4738</v>
      </c>
      <c r="O16" s="232">
        <v>4004.5</v>
      </c>
      <c r="P16" s="289">
        <f>2824.4+3.6-T16+0.4</f>
        <v>2755.7000000000003</v>
      </c>
      <c r="Q16" s="185"/>
      <c r="R16" s="7"/>
      <c r="S16" s="130">
        <f>46.9+59.1</f>
        <v>106</v>
      </c>
      <c r="T16" s="7">
        <f>29.2+43.5</f>
        <v>72.7</v>
      </c>
      <c r="U16" s="14">
        <f>107.1+43.9+60.5</f>
        <v>211.5</v>
      </c>
      <c r="V16" s="67">
        <f>11.1+11.2+11.1+11.2+11.1+11.1+83.4+83.4+83.4+83.4</f>
        <v>400.4</v>
      </c>
      <c r="W16" s="67">
        <f>416-V16</f>
        <v>15.600000000000023</v>
      </c>
      <c r="X16" s="69">
        <f>V16*1.3</f>
        <v>520.52</v>
      </c>
      <c r="Y16" s="69">
        <f aca="true" t="shared" si="0" ref="Y16:Y26">X16/H16*3+W16</f>
        <v>327.91200000000003</v>
      </c>
      <c r="Z16" s="69">
        <f>W16+X16-Y16</f>
        <v>208.20799999999997</v>
      </c>
      <c r="AA16" s="103">
        <v>94.8</v>
      </c>
      <c r="AB16" s="83"/>
      <c r="AC16" s="175">
        <v>1</v>
      </c>
    </row>
    <row r="17" spans="1:29" ht="12.75">
      <c r="A17" s="195">
        <v>2</v>
      </c>
      <c r="B17" s="2">
        <v>1980</v>
      </c>
      <c r="C17" s="3" t="s">
        <v>5</v>
      </c>
      <c r="D17" s="5" t="s">
        <v>6</v>
      </c>
      <c r="E17" s="4">
        <v>19</v>
      </c>
      <c r="F17" s="4" t="s">
        <v>7</v>
      </c>
      <c r="G17" s="4">
        <v>8</v>
      </c>
      <c r="H17" s="3">
        <v>5</v>
      </c>
      <c r="I17" s="3">
        <v>1</v>
      </c>
      <c r="J17" s="3">
        <v>6</v>
      </c>
      <c r="K17" s="3"/>
      <c r="L17" s="3">
        <v>87</v>
      </c>
      <c r="M17" s="2">
        <v>254</v>
      </c>
      <c r="N17" s="181">
        <v>4698.7</v>
      </c>
      <c r="O17" s="129">
        <v>4179.4</v>
      </c>
      <c r="P17" s="194">
        <f>2873.6-3.2+0.2-3.3-0.1-2.8-3.4-0.2+1.4+0.3</f>
        <v>2862.5</v>
      </c>
      <c r="Q17" s="31"/>
      <c r="R17" s="7"/>
      <c r="S17" s="7"/>
      <c r="T17" s="7"/>
      <c r="U17" s="7">
        <f>71.7+32.7</f>
        <v>104.4</v>
      </c>
      <c r="V17" s="67">
        <f>10.9+11+11.1+11.1+10.9+11.1+82.6+82.6+82.5+82.6</f>
        <v>396.4</v>
      </c>
      <c r="W17" s="67">
        <f>415-V17</f>
        <v>18.600000000000023</v>
      </c>
      <c r="X17" s="69">
        <f aca="true" t="shared" si="1" ref="X17:X26">V17*1.3</f>
        <v>515.3199999999999</v>
      </c>
      <c r="Y17" s="69">
        <f t="shared" si="0"/>
        <v>327.79200000000003</v>
      </c>
      <c r="Z17" s="69">
        <f aca="true" t="shared" si="2" ref="Z17:Z26">W17+X17-Y17</f>
        <v>206.12799999999993</v>
      </c>
      <c r="AA17" s="104">
        <v>96</v>
      </c>
      <c r="AB17" s="8"/>
      <c r="AC17" s="175">
        <v>2</v>
      </c>
    </row>
    <row r="18" spans="1:29" ht="12.75">
      <c r="A18" s="195">
        <v>3</v>
      </c>
      <c r="B18" s="2">
        <v>1980</v>
      </c>
      <c r="C18" s="3" t="s">
        <v>9</v>
      </c>
      <c r="D18" s="5" t="s">
        <v>8</v>
      </c>
      <c r="E18" s="4">
        <v>22</v>
      </c>
      <c r="F18" s="4" t="s">
        <v>7</v>
      </c>
      <c r="G18" s="4">
        <v>8</v>
      </c>
      <c r="H18" s="3">
        <v>5</v>
      </c>
      <c r="I18" s="3">
        <v>1</v>
      </c>
      <c r="J18" s="3">
        <v>6</v>
      </c>
      <c r="K18" s="3"/>
      <c r="L18" s="3">
        <v>90</v>
      </c>
      <c r="M18" s="2">
        <v>236</v>
      </c>
      <c r="N18" s="181">
        <f>O18+Q18+S18+U18+V18+W18</f>
        <v>4951.5</v>
      </c>
      <c r="O18" s="14">
        <v>4449.8</v>
      </c>
      <c r="P18" s="196">
        <v>2572.2</v>
      </c>
      <c r="Q18" s="31"/>
      <c r="R18" s="7"/>
      <c r="S18" s="7"/>
      <c r="T18" s="7"/>
      <c r="U18" s="7"/>
      <c r="V18" s="67">
        <f>14+14.1+14+14+14.1+15.6+84.2+84.2+84.2+93.8</f>
        <v>432.2</v>
      </c>
      <c r="W18" s="67">
        <f>501.7-V18</f>
        <v>69.5</v>
      </c>
      <c r="X18" s="69">
        <f t="shared" si="1"/>
        <v>561.86</v>
      </c>
      <c r="Y18" s="69">
        <f t="shared" si="0"/>
        <v>406.616</v>
      </c>
      <c r="Z18" s="69">
        <f t="shared" si="2"/>
        <v>224.74400000000003</v>
      </c>
      <c r="AA18" s="104">
        <v>86.4</v>
      </c>
      <c r="AB18" s="8"/>
      <c r="AC18" s="175">
        <v>4</v>
      </c>
    </row>
    <row r="19" spans="1:29" ht="12.75">
      <c r="A19" s="193">
        <v>4</v>
      </c>
      <c r="B19" s="2">
        <v>1982</v>
      </c>
      <c r="C19" s="2" t="s">
        <v>9</v>
      </c>
      <c r="D19" s="5" t="s">
        <v>8</v>
      </c>
      <c r="E19" s="4">
        <v>26</v>
      </c>
      <c r="F19" s="4" t="s">
        <v>7</v>
      </c>
      <c r="G19" s="4">
        <v>8</v>
      </c>
      <c r="H19" s="3">
        <v>5</v>
      </c>
      <c r="I19" s="3">
        <v>1</v>
      </c>
      <c r="J19" s="3">
        <v>8</v>
      </c>
      <c r="K19" s="3"/>
      <c r="L19" s="3">
        <v>120</v>
      </c>
      <c r="M19" s="2">
        <v>331</v>
      </c>
      <c r="N19" s="181">
        <v>6581.8</v>
      </c>
      <c r="O19" s="129">
        <v>5938</v>
      </c>
      <c r="P19" s="194">
        <f>3429.6-0.5+0.2</f>
        <v>3429.2999999999997</v>
      </c>
      <c r="Q19" s="31"/>
      <c r="R19" s="7"/>
      <c r="S19" s="7"/>
      <c r="T19" s="7"/>
      <c r="U19" s="7"/>
      <c r="V19" s="67">
        <f>12.7+12.8+12.8+12.9+12.8+12.8+12.8+12.6+112.8+112.8+112.8+112.8</f>
        <v>553.4</v>
      </c>
      <c r="W19" s="67">
        <f>643.8-V19</f>
        <v>90.39999999999998</v>
      </c>
      <c r="X19" s="69">
        <f t="shared" si="1"/>
        <v>719.42</v>
      </c>
      <c r="Y19" s="69">
        <f t="shared" si="0"/>
        <v>522.0519999999999</v>
      </c>
      <c r="Z19" s="69">
        <f t="shared" si="2"/>
        <v>287.76800000000003</v>
      </c>
      <c r="AA19" s="103">
        <v>115.2</v>
      </c>
      <c r="AB19" s="83"/>
      <c r="AC19" s="175">
        <v>5</v>
      </c>
    </row>
    <row r="20" spans="1:29" ht="12.75">
      <c r="A20" s="195">
        <v>5</v>
      </c>
      <c r="B20" s="2">
        <v>1981</v>
      </c>
      <c r="C20" s="2">
        <v>1982</v>
      </c>
      <c r="D20" s="5" t="s">
        <v>12</v>
      </c>
      <c r="E20" s="4" t="s">
        <v>13</v>
      </c>
      <c r="F20" s="4" t="s">
        <v>7</v>
      </c>
      <c r="G20" s="4">
        <v>8</v>
      </c>
      <c r="H20" s="3">
        <v>5</v>
      </c>
      <c r="I20" s="3">
        <v>1</v>
      </c>
      <c r="J20" s="3">
        <v>6</v>
      </c>
      <c r="K20" s="3"/>
      <c r="L20" s="3">
        <v>90</v>
      </c>
      <c r="M20" s="2">
        <v>220</v>
      </c>
      <c r="N20" s="181">
        <v>4993.2</v>
      </c>
      <c r="O20" s="14">
        <v>4447.6</v>
      </c>
      <c r="P20" s="194">
        <v>2543.2</v>
      </c>
      <c r="Q20" s="31">
        <v>51.1</v>
      </c>
      <c r="R20" s="7">
        <v>28.8</v>
      </c>
      <c r="S20" s="7"/>
      <c r="T20" s="7"/>
      <c r="U20" s="7"/>
      <c r="V20" s="67">
        <f>14.2+14.2+14+14.2+14.1+14.4+85.1+85.1+85.1+85.1</f>
        <v>425.5</v>
      </c>
      <c r="W20" s="131">
        <f>494.5-V20</f>
        <v>69</v>
      </c>
      <c r="X20" s="69">
        <f t="shared" si="1"/>
        <v>553.15</v>
      </c>
      <c r="Y20" s="69">
        <f t="shared" si="0"/>
        <v>400.89</v>
      </c>
      <c r="Z20" s="69">
        <f t="shared" si="2"/>
        <v>221.26</v>
      </c>
      <c r="AA20" s="104">
        <v>86.4</v>
      </c>
      <c r="AB20" s="8"/>
      <c r="AC20" s="175">
        <v>6</v>
      </c>
    </row>
    <row r="21" spans="1:29" ht="19.5" customHeight="1">
      <c r="A21" s="195">
        <v>6</v>
      </c>
      <c r="B21" s="2">
        <v>1983</v>
      </c>
      <c r="C21" s="2">
        <v>1982</v>
      </c>
      <c r="D21" s="14" t="s">
        <v>12</v>
      </c>
      <c r="E21" s="4" t="s">
        <v>14</v>
      </c>
      <c r="F21" s="4" t="s">
        <v>7</v>
      </c>
      <c r="G21" s="4">
        <v>8</v>
      </c>
      <c r="H21" s="3">
        <v>5</v>
      </c>
      <c r="I21" s="3">
        <v>1</v>
      </c>
      <c r="J21" s="3">
        <v>6</v>
      </c>
      <c r="K21" s="3"/>
      <c r="L21" s="3">
        <v>90</v>
      </c>
      <c r="M21" s="2">
        <v>267</v>
      </c>
      <c r="N21" s="181">
        <v>4980.4</v>
      </c>
      <c r="O21" s="181">
        <v>4448.5</v>
      </c>
      <c r="P21" s="196">
        <f>2569.9-0.1-0.4+0</f>
        <v>2569.4</v>
      </c>
      <c r="Q21" s="31"/>
      <c r="R21" s="7"/>
      <c r="S21" s="7"/>
      <c r="T21" s="7"/>
      <c r="U21" s="7"/>
      <c r="V21" s="67">
        <f>14.2+14.3+14.3+14.2+14.3+14.4+94.1+94.1+94.1+94.1</f>
        <v>462.1</v>
      </c>
      <c r="W21" s="67">
        <f>531.9-V21</f>
        <v>69.79999999999995</v>
      </c>
      <c r="X21" s="69">
        <f t="shared" si="1"/>
        <v>600.73</v>
      </c>
      <c r="Y21" s="69">
        <f t="shared" si="0"/>
        <v>430.23799999999994</v>
      </c>
      <c r="Z21" s="69">
        <f t="shared" si="2"/>
        <v>240.29200000000003</v>
      </c>
      <c r="AA21" s="104">
        <v>86.4</v>
      </c>
      <c r="AB21" s="8"/>
      <c r="AC21" s="175">
        <v>7</v>
      </c>
    </row>
    <row r="22" spans="1:29" ht="12.75">
      <c r="A22" s="193">
        <v>7</v>
      </c>
      <c r="B22" s="2">
        <v>1981</v>
      </c>
      <c r="C22" s="3" t="s">
        <v>9</v>
      </c>
      <c r="D22" s="5" t="s">
        <v>10</v>
      </c>
      <c r="E22" s="4">
        <v>71</v>
      </c>
      <c r="F22" s="4" t="s">
        <v>7</v>
      </c>
      <c r="G22" s="4">
        <v>8</v>
      </c>
      <c r="H22" s="3">
        <v>5</v>
      </c>
      <c r="I22" s="3">
        <v>1</v>
      </c>
      <c r="J22" s="3">
        <v>6</v>
      </c>
      <c r="K22" s="3"/>
      <c r="L22" s="3">
        <v>90</v>
      </c>
      <c r="M22" s="2">
        <v>239</v>
      </c>
      <c r="N22" s="181">
        <v>4950.8</v>
      </c>
      <c r="O22" s="14">
        <v>4459.3</v>
      </c>
      <c r="P22" s="196">
        <f>2564.6+0.1+3.1</f>
        <v>2567.7999999999997</v>
      </c>
      <c r="Q22" s="31"/>
      <c r="R22" s="7"/>
      <c r="S22" s="7"/>
      <c r="T22" s="7"/>
      <c r="U22" s="7"/>
      <c r="V22" s="67">
        <f>12.7+12.9+12.8+12.8+12.9+12.8+85.6+85.6+85.6+85.6</f>
        <v>419.29999999999995</v>
      </c>
      <c r="W22" s="67">
        <f>491.5-V22</f>
        <v>72.20000000000005</v>
      </c>
      <c r="X22" s="69">
        <f t="shared" si="1"/>
        <v>545.0899999999999</v>
      </c>
      <c r="Y22" s="69">
        <f t="shared" si="0"/>
        <v>399.254</v>
      </c>
      <c r="Z22" s="69">
        <f t="shared" si="2"/>
        <v>218.03599999999994</v>
      </c>
      <c r="AA22" s="104">
        <v>86.4</v>
      </c>
      <c r="AB22" s="8"/>
      <c r="AC22" s="175">
        <v>8</v>
      </c>
    </row>
    <row r="23" spans="1:29" ht="12.75">
      <c r="A23" s="195">
        <v>8</v>
      </c>
      <c r="B23" s="2">
        <v>1981</v>
      </c>
      <c r="C23" s="2" t="s">
        <v>9</v>
      </c>
      <c r="D23" s="5" t="s">
        <v>10</v>
      </c>
      <c r="E23" s="4">
        <v>73</v>
      </c>
      <c r="F23" s="4" t="s">
        <v>7</v>
      </c>
      <c r="G23" s="4">
        <v>8</v>
      </c>
      <c r="H23" s="3">
        <v>5</v>
      </c>
      <c r="I23" s="3">
        <v>1</v>
      </c>
      <c r="J23" s="3">
        <v>6</v>
      </c>
      <c r="K23" s="3"/>
      <c r="L23" s="3">
        <v>89</v>
      </c>
      <c r="M23" s="2">
        <v>227</v>
      </c>
      <c r="N23" s="181">
        <v>4941.41</v>
      </c>
      <c r="O23" s="129">
        <v>4411.91</v>
      </c>
      <c r="P23" s="196">
        <f>2579.3-0.3-R23+0.4</f>
        <v>2550.4</v>
      </c>
      <c r="Q23" s="186">
        <f>48.4</f>
        <v>48.4</v>
      </c>
      <c r="R23" s="3">
        <v>29</v>
      </c>
      <c r="S23" s="7"/>
      <c r="T23" s="7"/>
      <c r="U23" s="7"/>
      <c r="V23" s="67">
        <f>12.5+12.3+12.4+12.4+12.5+12.7+83.3+83.3+83.3+83.3</f>
        <v>408</v>
      </c>
      <c r="W23" s="67">
        <f>481.1-V23</f>
        <v>73.10000000000002</v>
      </c>
      <c r="X23" s="69">
        <f t="shared" si="1"/>
        <v>530.4</v>
      </c>
      <c r="Y23" s="69">
        <f t="shared" si="0"/>
        <v>391.34000000000003</v>
      </c>
      <c r="Z23" s="69">
        <f t="shared" si="2"/>
        <v>212.15999999999997</v>
      </c>
      <c r="AA23" s="104">
        <v>85.2</v>
      </c>
      <c r="AB23" s="8"/>
      <c r="AC23" s="175">
        <v>9</v>
      </c>
    </row>
    <row r="24" spans="1:29" ht="12.75">
      <c r="A24" s="195">
        <v>9</v>
      </c>
      <c r="B24" s="2">
        <v>1982</v>
      </c>
      <c r="C24" s="3" t="s">
        <v>11</v>
      </c>
      <c r="D24" s="5" t="s">
        <v>10</v>
      </c>
      <c r="E24" s="4">
        <v>75</v>
      </c>
      <c r="F24" s="4" t="s">
        <v>7</v>
      </c>
      <c r="G24" s="4">
        <v>8</v>
      </c>
      <c r="H24" s="3">
        <v>5</v>
      </c>
      <c r="I24" s="3">
        <v>1</v>
      </c>
      <c r="J24" s="3">
        <v>6</v>
      </c>
      <c r="K24" s="3"/>
      <c r="L24" s="3">
        <v>90</v>
      </c>
      <c r="M24" s="2">
        <v>241</v>
      </c>
      <c r="N24" s="181">
        <v>4949</v>
      </c>
      <c r="O24" s="14">
        <v>4453.5</v>
      </c>
      <c r="P24" s="196">
        <f>2584.7+2.3</f>
        <v>2587</v>
      </c>
      <c r="Q24" s="31"/>
      <c r="R24" s="7"/>
      <c r="S24" s="7"/>
      <c r="T24" s="7"/>
      <c r="U24" s="7"/>
      <c r="V24" s="67">
        <f>13.1+13+13.2+13.2+13.2+13.2+87.3+87.3+87.3+87.3</f>
        <v>428.1</v>
      </c>
      <c r="W24" s="67">
        <f>495.5-V24</f>
        <v>67.39999999999998</v>
      </c>
      <c r="X24" s="69">
        <f t="shared" si="1"/>
        <v>556.5300000000001</v>
      </c>
      <c r="Y24" s="69">
        <f t="shared" si="0"/>
        <v>401.318</v>
      </c>
      <c r="Z24" s="69">
        <f t="shared" si="2"/>
        <v>222.61200000000008</v>
      </c>
      <c r="AA24" s="104">
        <v>85.2</v>
      </c>
      <c r="AB24" s="8"/>
      <c r="AC24" s="175">
        <v>10</v>
      </c>
    </row>
    <row r="25" spans="1:29" ht="12.75">
      <c r="A25" s="193">
        <v>10</v>
      </c>
      <c r="B25" s="2">
        <v>1981</v>
      </c>
      <c r="C25" s="2" t="s">
        <v>9</v>
      </c>
      <c r="D25" s="5" t="s">
        <v>10</v>
      </c>
      <c r="E25" s="4">
        <v>77</v>
      </c>
      <c r="F25" s="4" t="s">
        <v>7</v>
      </c>
      <c r="G25" s="4">
        <v>8</v>
      </c>
      <c r="H25" s="3">
        <v>5</v>
      </c>
      <c r="I25" s="3">
        <v>1</v>
      </c>
      <c r="J25" s="3">
        <v>8</v>
      </c>
      <c r="K25" s="3"/>
      <c r="L25" s="3">
        <v>117</v>
      </c>
      <c r="M25" s="2">
        <v>307</v>
      </c>
      <c r="N25" s="181">
        <v>6581.3</v>
      </c>
      <c r="O25" s="129">
        <v>5777.1</v>
      </c>
      <c r="P25" s="194">
        <f>3332.4+0.1-0.2+0-0.3</f>
        <v>3332</v>
      </c>
      <c r="Q25" s="31"/>
      <c r="R25" s="7"/>
      <c r="S25" s="7"/>
      <c r="T25" s="7"/>
      <c r="U25" s="7">
        <v>138.6</v>
      </c>
      <c r="V25" s="67">
        <f>12.7+12.7+12.7+12.7+12.6+12.5+12.9+12.7+114+113.9+114+114</f>
        <v>557.4</v>
      </c>
      <c r="W25" s="131">
        <f>665.6-V25</f>
        <v>108.20000000000005</v>
      </c>
      <c r="X25" s="69">
        <f t="shared" si="1"/>
        <v>724.62</v>
      </c>
      <c r="Y25" s="69">
        <f t="shared" si="0"/>
        <v>542.9720000000001</v>
      </c>
      <c r="Z25" s="69">
        <f t="shared" si="2"/>
        <v>289.84799999999996</v>
      </c>
      <c r="AA25" s="104">
        <v>115.2</v>
      </c>
      <c r="AB25" s="8"/>
      <c r="AC25" s="175">
        <v>11</v>
      </c>
    </row>
    <row r="26" spans="1:29" ht="13.5" thickBot="1">
      <c r="A26" s="195">
        <v>11</v>
      </c>
      <c r="B26" s="2">
        <v>1981</v>
      </c>
      <c r="C26" s="3" t="s">
        <v>9</v>
      </c>
      <c r="D26" s="5" t="s">
        <v>10</v>
      </c>
      <c r="E26" s="4">
        <v>79</v>
      </c>
      <c r="F26" s="4" t="s">
        <v>7</v>
      </c>
      <c r="G26" s="4">
        <v>8</v>
      </c>
      <c r="H26" s="3">
        <v>5</v>
      </c>
      <c r="I26" s="3">
        <v>1</v>
      </c>
      <c r="J26" s="3">
        <v>8</v>
      </c>
      <c r="K26" s="3"/>
      <c r="L26" s="3">
        <v>120</v>
      </c>
      <c r="M26" s="2">
        <v>323</v>
      </c>
      <c r="N26" s="181">
        <v>6625.1</v>
      </c>
      <c r="O26" s="129">
        <v>5945.4</v>
      </c>
      <c r="P26" s="194">
        <f>3421.9-0.4</f>
        <v>3421.5</v>
      </c>
      <c r="Q26" s="31"/>
      <c r="R26" s="7"/>
      <c r="S26" s="7"/>
      <c r="T26" s="7"/>
      <c r="U26" s="7">
        <f>11.4+4.6</f>
        <v>16</v>
      </c>
      <c r="V26" s="67">
        <f>14+14.1+14.1+14.1+14+14.1+14+14+113.7+113.7+113.7+113.7</f>
        <v>567.2</v>
      </c>
      <c r="W26" s="67">
        <f>663.7-V26</f>
        <v>96.5</v>
      </c>
      <c r="X26" s="69">
        <f t="shared" si="1"/>
        <v>737.3600000000001</v>
      </c>
      <c r="Y26" s="69">
        <f t="shared" si="0"/>
        <v>538.9160000000002</v>
      </c>
      <c r="Z26" s="69">
        <f t="shared" si="2"/>
        <v>294.94399999999996</v>
      </c>
      <c r="AA26" s="105">
        <v>115.2</v>
      </c>
      <c r="AB26" s="33"/>
      <c r="AC26" s="175">
        <v>12</v>
      </c>
    </row>
    <row r="27" spans="1:28" ht="13.5" thickBot="1">
      <c r="A27" s="197"/>
      <c r="B27" s="132"/>
      <c r="C27" s="132"/>
      <c r="D27" s="133"/>
      <c r="E27" s="134"/>
      <c r="F27" s="132"/>
      <c r="G27" s="132"/>
      <c r="H27" s="132"/>
      <c r="I27" s="134">
        <f aca="true" t="shared" si="3" ref="I27:P27">SUM(I16:I26)</f>
        <v>11</v>
      </c>
      <c r="J27" s="134">
        <f t="shared" si="3"/>
        <v>72</v>
      </c>
      <c r="K27" s="134">
        <f t="shared" si="3"/>
        <v>0</v>
      </c>
      <c r="L27" s="134">
        <f t="shared" si="3"/>
        <v>1067</v>
      </c>
      <c r="M27" s="134">
        <f t="shared" si="3"/>
        <v>2889</v>
      </c>
      <c r="N27" s="243">
        <f t="shared" si="3"/>
        <v>58991.21</v>
      </c>
      <c r="O27" s="134">
        <f t="shared" si="3"/>
        <v>52515.01</v>
      </c>
      <c r="P27" s="291">
        <f t="shared" si="3"/>
        <v>31191.000000000004</v>
      </c>
      <c r="Q27" s="187">
        <f aca="true" t="shared" si="4" ref="Q27:AB27">SUM(Q16:Q26)</f>
        <v>99.5</v>
      </c>
      <c r="R27" s="136">
        <f t="shared" si="4"/>
        <v>57.8</v>
      </c>
      <c r="S27" s="62">
        <f t="shared" si="4"/>
        <v>106</v>
      </c>
      <c r="T27" s="4">
        <f t="shared" si="4"/>
        <v>72.7</v>
      </c>
      <c r="U27" s="4">
        <f t="shared" si="4"/>
        <v>470.5</v>
      </c>
      <c r="V27" s="4">
        <f t="shared" si="4"/>
        <v>5050</v>
      </c>
      <c r="W27" s="4">
        <f t="shared" si="4"/>
        <v>750.3000000000001</v>
      </c>
      <c r="X27" s="4">
        <f t="shared" si="4"/>
        <v>6565</v>
      </c>
      <c r="Y27" s="4">
        <f t="shared" si="4"/>
        <v>4689.3</v>
      </c>
      <c r="Z27" s="4">
        <f t="shared" si="4"/>
        <v>2626</v>
      </c>
      <c r="AA27" s="49">
        <f t="shared" si="4"/>
        <v>1052.4</v>
      </c>
      <c r="AB27" s="48">
        <f t="shared" si="4"/>
        <v>0</v>
      </c>
    </row>
    <row r="28" spans="1:28" ht="12.75">
      <c r="A28" s="193"/>
      <c r="B28" s="2"/>
      <c r="C28" s="2"/>
      <c r="D28" s="4" t="s">
        <v>17</v>
      </c>
      <c r="E28" s="4"/>
      <c r="F28" s="3"/>
      <c r="G28" s="3"/>
      <c r="H28" s="3"/>
      <c r="I28" s="3"/>
      <c r="J28" s="3"/>
      <c r="K28" s="3"/>
      <c r="L28" s="2"/>
      <c r="M28" s="137"/>
      <c r="N28" s="14"/>
      <c r="O28" s="14"/>
      <c r="P28" s="196"/>
      <c r="Q28" s="188"/>
      <c r="R28" s="67"/>
      <c r="S28" s="7"/>
      <c r="T28" s="7"/>
      <c r="U28" s="2"/>
      <c r="V28" s="2"/>
      <c r="W28" s="2"/>
      <c r="X28" s="68"/>
      <c r="Y28" s="2"/>
      <c r="Z28" s="2"/>
      <c r="AA28" s="36"/>
      <c r="AB28" s="36"/>
    </row>
    <row r="29" spans="1:29" ht="12.75">
      <c r="A29" s="193">
        <v>12</v>
      </c>
      <c r="B29" s="2">
        <v>1989</v>
      </c>
      <c r="C29" s="37" t="s">
        <v>167</v>
      </c>
      <c r="D29" s="5" t="s">
        <v>8</v>
      </c>
      <c r="E29" s="4">
        <v>21</v>
      </c>
      <c r="F29" s="4" t="s">
        <v>7</v>
      </c>
      <c r="G29" s="59" t="s">
        <v>183</v>
      </c>
      <c r="H29" s="2">
        <v>3</v>
      </c>
      <c r="I29" s="2">
        <v>1</v>
      </c>
      <c r="J29" s="2">
        <v>1</v>
      </c>
      <c r="K29" s="2">
        <v>2</v>
      </c>
      <c r="L29" s="2">
        <v>53</v>
      </c>
      <c r="M29" s="2">
        <v>132</v>
      </c>
      <c r="N29" s="14">
        <v>3718.4</v>
      </c>
      <c r="O29" s="78">
        <v>2818.8</v>
      </c>
      <c r="P29" s="198">
        <f>1553.5+0.5+37.9+0.1+0.2+1.8</f>
        <v>1594</v>
      </c>
      <c r="Q29" s="189"/>
      <c r="R29" s="3"/>
      <c r="S29" s="3"/>
      <c r="T29" s="7"/>
      <c r="U29" s="3"/>
      <c r="V29" s="3">
        <v>154.4</v>
      </c>
      <c r="W29" s="3">
        <f>800.6-12.3-31-4.4-10.3+2.6</f>
        <v>745.2000000000002</v>
      </c>
      <c r="X29" s="78">
        <f>V29*1.3</f>
        <v>200.72000000000003</v>
      </c>
      <c r="Y29" s="2">
        <f>W29+X29</f>
        <v>945.9200000000002</v>
      </c>
      <c r="Z29" s="68">
        <f>W29+X29-Y29</f>
        <v>0</v>
      </c>
      <c r="AA29" s="106"/>
      <c r="AB29" s="8"/>
      <c r="AC29" s="175">
        <v>13</v>
      </c>
    </row>
    <row r="30" spans="1:29" ht="25.5">
      <c r="A30" s="193">
        <v>13</v>
      </c>
      <c r="B30" s="2">
        <v>1993</v>
      </c>
      <c r="C30" s="2" t="s">
        <v>16</v>
      </c>
      <c r="D30" s="5" t="s">
        <v>8</v>
      </c>
      <c r="E30" s="4">
        <v>35</v>
      </c>
      <c r="F30" s="4" t="s">
        <v>7</v>
      </c>
      <c r="G30" s="4" t="s">
        <v>181</v>
      </c>
      <c r="H30" s="3">
        <v>5</v>
      </c>
      <c r="I30" s="3">
        <v>1</v>
      </c>
      <c r="J30" s="3">
        <v>4</v>
      </c>
      <c r="K30" s="3"/>
      <c r="L30" s="2">
        <v>70</v>
      </c>
      <c r="M30" s="2">
        <v>189</v>
      </c>
      <c r="N30" s="14">
        <v>3745.6</v>
      </c>
      <c r="O30" s="78">
        <v>3462.4</v>
      </c>
      <c r="P30" s="198">
        <f>2106.7-8.2-6.3-0.4-1.4-1.9+3.3</f>
        <v>2091.7999999999997</v>
      </c>
      <c r="Q30" s="188"/>
      <c r="R30" s="67"/>
      <c r="S30" s="7"/>
      <c r="T30" s="7"/>
      <c r="U30" s="2"/>
      <c r="V30" s="2">
        <v>271.6</v>
      </c>
      <c r="W30" s="2">
        <v>11.6</v>
      </c>
      <c r="X30" s="2">
        <f>V30*1.3</f>
        <v>353.08000000000004</v>
      </c>
      <c r="Y30" s="2">
        <f>W30+X30</f>
        <v>364.68000000000006</v>
      </c>
      <c r="Z30" s="68">
        <f>W30+X30-Y30</f>
        <v>0</v>
      </c>
      <c r="AA30" s="8"/>
      <c r="AB30" s="8">
        <v>31.5</v>
      </c>
      <c r="AC30" s="175">
        <v>14</v>
      </c>
    </row>
    <row r="31" spans="1:29" ht="12.75">
      <c r="A31" s="193">
        <v>14</v>
      </c>
      <c r="B31" s="2">
        <v>1988</v>
      </c>
      <c r="C31" s="2" t="s">
        <v>20</v>
      </c>
      <c r="D31" s="5" t="s">
        <v>22</v>
      </c>
      <c r="E31" s="4">
        <v>48</v>
      </c>
      <c r="F31" s="4" t="s">
        <v>7</v>
      </c>
      <c r="G31" s="59" t="s">
        <v>182</v>
      </c>
      <c r="H31" s="3">
        <v>2</v>
      </c>
      <c r="I31" s="3">
        <v>1</v>
      </c>
      <c r="J31" s="3">
        <v>3</v>
      </c>
      <c r="K31" s="3"/>
      <c r="L31" s="2">
        <v>18</v>
      </c>
      <c r="M31" s="2">
        <v>46</v>
      </c>
      <c r="N31" s="14">
        <f>O31+Q31+S31+U31+V31+W31</f>
        <v>1048.6</v>
      </c>
      <c r="O31" s="14">
        <v>931.6</v>
      </c>
      <c r="P31" s="198">
        <v>560.4</v>
      </c>
      <c r="Q31" s="188"/>
      <c r="R31" s="67"/>
      <c r="S31" s="7"/>
      <c r="T31" s="7"/>
      <c r="U31" s="2"/>
      <c r="V31" s="2">
        <v>111</v>
      </c>
      <c r="W31" s="2">
        <v>6</v>
      </c>
      <c r="X31" s="2">
        <f>V31*1.3</f>
        <v>144.3</v>
      </c>
      <c r="Y31" s="2">
        <f>W31+X31</f>
        <v>150.3</v>
      </c>
      <c r="Z31" s="68">
        <f>W31+X31-Y31</f>
        <v>0</v>
      </c>
      <c r="AA31" s="8"/>
      <c r="AB31" s="8">
        <v>33.6</v>
      </c>
      <c r="AC31" s="175">
        <v>15</v>
      </c>
    </row>
    <row r="32" spans="1:29" ht="12.75">
      <c r="A32" s="193">
        <v>15</v>
      </c>
      <c r="B32" s="2">
        <v>1993</v>
      </c>
      <c r="C32" s="2" t="s">
        <v>21</v>
      </c>
      <c r="D32" s="5" t="s">
        <v>22</v>
      </c>
      <c r="E32" s="4">
        <v>50</v>
      </c>
      <c r="F32" s="4" t="s">
        <v>164</v>
      </c>
      <c r="G32" s="59" t="s">
        <v>180</v>
      </c>
      <c r="H32" s="3">
        <v>3</v>
      </c>
      <c r="I32" s="3">
        <v>1</v>
      </c>
      <c r="J32" s="3">
        <v>3</v>
      </c>
      <c r="K32" s="3"/>
      <c r="L32" s="2">
        <v>27</v>
      </c>
      <c r="M32" s="2">
        <v>66</v>
      </c>
      <c r="N32" s="14">
        <v>1315.8</v>
      </c>
      <c r="O32" s="14">
        <v>1172.4</v>
      </c>
      <c r="P32" s="198">
        <v>665.1</v>
      </c>
      <c r="Q32" s="188"/>
      <c r="R32" s="67"/>
      <c r="S32" s="7"/>
      <c r="T32" s="7"/>
      <c r="U32" s="2"/>
      <c r="V32" s="2">
        <v>126.3</v>
      </c>
      <c r="W32" s="2">
        <v>17.1</v>
      </c>
      <c r="X32" s="2">
        <f>V32*1.3</f>
        <v>164.19</v>
      </c>
      <c r="Y32" s="2">
        <f>W32+X32</f>
        <v>181.29</v>
      </c>
      <c r="Z32" s="68">
        <f>W32+X32-Y32</f>
        <v>0</v>
      </c>
      <c r="AA32" s="8"/>
      <c r="AB32" s="8">
        <v>29.55</v>
      </c>
      <c r="AC32" s="175">
        <v>16</v>
      </c>
    </row>
    <row r="33" spans="1:29" ht="13.5" thickBot="1">
      <c r="A33" s="193">
        <v>16</v>
      </c>
      <c r="B33" s="2">
        <v>1993</v>
      </c>
      <c r="C33" s="2" t="s">
        <v>23</v>
      </c>
      <c r="D33" s="5" t="s">
        <v>22</v>
      </c>
      <c r="E33" s="4" t="s">
        <v>24</v>
      </c>
      <c r="F33" s="4" t="s">
        <v>7</v>
      </c>
      <c r="G33" s="59" t="s">
        <v>182</v>
      </c>
      <c r="H33" s="3">
        <v>2</v>
      </c>
      <c r="I33" s="3">
        <v>1</v>
      </c>
      <c r="J33" s="3">
        <v>2</v>
      </c>
      <c r="K33" s="3"/>
      <c r="L33" s="2">
        <v>20</v>
      </c>
      <c r="M33" s="2">
        <v>77</v>
      </c>
      <c r="N33" s="14">
        <v>1369.7</v>
      </c>
      <c r="O33" s="14">
        <v>1225.2</v>
      </c>
      <c r="P33" s="198">
        <f>743.5-1.4</f>
        <v>742.1</v>
      </c>
      <c r="Q33" s="188"/>
      <c r="R33" s="67"/>
      <c r="S33" s="7"/>
      <c r="T33" s="7"/>
      <c r="U33" s="2"/>
      <c r="V33" s="2">
        <v>57.1</v>
      </c>
      <c r="W33" s="2">
        <v>87.4</v>
      </c>
      <c r="X33" s="2">
        <f>V33*1.3</f>
        <v>74.23</v>
      </c>
      <c r="Y33" s="2">
        <f>W33+X33</f>
        <v>161.63</v>
      </c>
      <c r="Z33" s="68">
        <f>W33+X33-Y33</f>
        <v>0</v>
      </c>
      <c r="AA33" s="86"/>
      <c r="AB33" s="86">
        <v>49.5</v>
      </c>
      <c r="AC33" s="175">
        <v>17</v>
      </c>
    </row>
    <row r="34" spans="1:28" ht="13.5" thickBot="1">
      <c r="A34" s="199"/>
      <c r="B34" s="138"/>
      <c r="C34" s="138"/>
      <c r="D34" s="139"/>
      <c r="E34" s="134"/>
      <c r="F34" s="140"/>
      <c r="G34" s="140"/>
      <c r="H34" s="132"/>
      <c r="I34" s="134">
        <f>SUM(I29:I33)</f>
        <v>5</v>
      </c>
      <c r="J34" s="134">
        <f>SUM(J29:J33)</f>
        <v>13</v>
      </c>
      <c r="K34" s="134">
        <f aca="true" t="shared" si="5" ref="K34:AB34">SUM(K29:K33)</f>
        <v>2</v>
      </c>
      <c r="L34" s="134">
        <f>SUM(L29:L33)</f>
        <v>188</v>
      </c>
      <c r="M34" s="134">
        <f>SUM(M29:M33)</f>
        <v>510</v>
      </c>
      <c r="N34" s="134">
        <f>SUM(N29:N33)</f>
        <v>11198.1</v>
      </c>
      <c r="O34" s="292">
        <f>SUM(O29:O33)</f>
        <v>9610.400000000001</v>
      </c>
      <c r="P34" s="240">
        <f>SUM(P29:P33)</f>
        <v>5653.400000000001</v>
      </c>
      <c r="Q34" s="189">
        <f t="shared" si="5"/>
        <v>0</v>
      </c>
      <c r="R34" s="4">
        <f t="shared" si="5"/>
        <v>0</v>
      </c>
      <c r="S34" s="4">
        <f t="shared" si="5"/>
        <v>0</v>
      </c>
      <c r="T34" s="4">
        <f t="shared" si="5"/>
        <v>0</v>
      </c>
      <c r="U34" s="4">
        <f t="shared" si="5"/>
        <v>0</v>
      </c>
      <c r="V34" s="4">
        <f t="shared" si="5"/>
        <v>720.4</v>
      </c>
      <c r="W34" s="4">
        <f t="shared" si="5"/>
        <v>867.3000000000002</v>
      </c>
      <c r="X34" s="4">
        <f t="shared" si="5"/>
        <v>936.5200000000002</v>
      </c>
      <c r="Y34" s="141">
        <f t="shared" si="5"/>
        <v>1803.8200000000002</v>
      </c>
      <c r="Z34" s="141">
        <f t="shared" si="5"/>
        <v>0</v>
      </c>
      <c r="AA34" s="49">
        <f t="shared" si="5"/>
        <v>0</v>
      </c>
      <c r="AB34" s="48">
        <f t="shared" si="5"/>
        <v>144.14999999999998</v>
      </c>
    </row>
    <row r="35" spans="1:28" ht="12.75">
      <c r="A35" s="193"/>
      <c r="B35" s="2"/>
      <c r="C35" s="2"/>
      <c r="D35" s="4" t="s">
        <v>137</v>
      </c>
      <c r="E35" s="4"/>
      <c r="F35" s="3"/>
      <c r="G35" s="3"/>
      <c r="H35" s="3"/>
      <c r="I35" s="2"/>
      <c r="J35" s="2"/>
      <c r="K35" s="2"/>
      <c r="L35" s="44"/>
      <c r="M35" s="2"/>
      <c r="N35" s="14"/>
      <c r="O35" s="129"/>
      <c r="P35" s="196"/>
      <c r="Q35" s="188"/>
      <c r="R35" s="67"/>
      <c r="S35" s="7"/>
      <c r="T35" s="7"/>
      <c r="U35" s="2"/>
      <c r="V35" s="2"/>
      <c r="W35" s="2"/>
      <c r="X35" s="2"/>
      <c r="Y35" s="2"/>
      <c r="Z35" s="2"/>
      <c r="AA35" s="8"/>
      <c r="AB35" s="30"/>
    </row>
    <row r="36" spans="1:29" ht="25.5">
      <c r="A36" s="193">
        <v>17</v>
      </c>
      <c r="B36" s="2">
        <v>1991</v>
      </c>
      <c r="C36" s="2" t="s">
        <v>150</v>
      </c>
      <c r="D36" s="5" t="s">
        <v>190</v>
      </c>
      <c r="E36" s="4">
        <v>125</v>
      </c>
      <c r="F36" s="4" t="s">
        <v>7</v>
      </c>
      <c r="G36" s="4">
        <v>11</v>
      </c>
      <c r="H36" s="3">
        <v>3</v>
      </c>
      <c r="I36" s="2">
        <v>1</v>
      </c>
      <c r="J36" s="2">
        <v>3</v>
      </c>
      <c r="K36" s="2"/>
      <c r="L36" s="19">
        <v>36</v>
      </c>
      <c r="M36" s="2">
        <v>99</v>
      </c>
      <c r="N36" s="129">
        <f>O36+Q36+S36+U36+V36+W36</f>
        <v>1827.8000000000002</v>
      </c>
      <c r="O36" s="129">
        <f>1521.7-1.3</f>
        <v>1520.4</v>
      </c>
      <c r="P36" s="196">
        <f>767.7-0.8</f>
        <v>766.9000000000001</v>
      </c>
      <c r="Q36" s="188"/>
      <c r="R36" s="67"/>
      <c r="S36" s="7"/>
      <c r="T36" s="7"/>
      <c r="U36" s="2"/>
      <c r="V36" s="2">
        <v>301.7</v>
      </c>
      <c r="W36" s="2">
        <v>5.7</v>
      </c>
      <c r="X36" s="2">
        <f>V36*1.3</f>
        <v>392.21</v>
      </c>
      <c r="Y36" s="2">
        <f>W36+X36</f>
        <v>397.90999999999997</v>
      </c>
      <c r="Z36" s="68">
        <f>W36+X36-Y36</f>
        <v>0</v>
      </c>
      <c r="AA36" s="83"/>
      <c r="AB36" s="77"/>
      <c r="AC36" s="175">
        <v>18</v>
      </c>
    </row>
    <row r="37" spans="1:29" ht="12.75">
      <c r="A37" s="193">
        <v>18</v>
      </c>
      <c r="B37" s="2">
        <v>1990</v>
      </c>
      <c r="C37" s="2" t="s">
        <v>65</v>
      </c>
      <c r="D37" s="5" t="s">
        <v>190</v>
      </c>
      <c r="E37" s="4">
        <v>127</v>
      </c>
      <c r="F37" s="4" t="s">
        <v>7</v>
      </c>
      <c r="G37" s="4">
        <v>11</v>
      </c>
      <c r="H37" s="3">
        <v>3</v>
      </c>
      <c r="I37" s="2">
        <v>1</v>
      </c>
      <c r="J37" s="2">
        <v>3</v>
      </c>
      <c r="K37" s="2"/>
      <c r="L37" s="19">
        <v>35</v>
      </c>
      <c r="M37" s="2">
        <v>84</v>
      </c>
      <c r="N37" s="129">
        <f>O37+Q37+S37+U37+V37+W37</f>
        <v>1701.4</v>
      </c>
      <c r="O37" s="129">
        <v>1449.4</v>
      </c>
      <c r="P37" s="196">
        <v>725.5</v>
      </c>
      <c r="Q37" s="188"/>
      <c r="R37" s="67"/>
      <c r="S37" s="7"/>
      <c r="T37" s="7"/>
      <c r="U37" s="2"/>
      <c r="V37" s="2">
        <v>117.5</v>
      </c>
      <c r="W37" s="2">
        <v>134.5</v>
      </c>
      <c r="X37" s="2">
        <f>V37*1.3</f>
        <v>152.75</v>
      </c>
      <c r="Y37" s="2">
        <f>W37+X37</f>
        <v>287.25</v>
      </c>
      <c r="Z37" s="68">
        <f>W37+X37-Y37</f>
        <v>0</v>
      </c>
      <c r="AA37" s="8"/>
      <c r="AB37" s="30"/>
      <c r="AC37" s="175">
        <v>19</v>
      </c>
    </row>
    <row r="38" spans="1:29" ht="12.75">
      <c r="A38" s="193">
        <v>19</v>
      </c>
      <c r="B38" s="2">
        <v>1992</v>
      </c>
      <c r="C38" s="2" t="s">
        <v>16</v>
      </c>
      <c r="D38" s="5" t="s">
        <v>190</v>
      </c>
      <c r="E38" s="4">
        <v>129</v>
      </c>
      <c r="F38" s="4" t="s">
        <v>7</v>
      </c>
      <c r="G38" s="4">
        <v>11</v>
      </c>
      <c r="H38" s="3">
        <v>3</v>
      </c>
      <c r="I38" s="2">
        <v>1</v>
      </c>
      <c r="J38" s="2">
        <v>3</v>
      </c>
      <c r="K38" s="2"/>
      <c r="L38" s="19">
        <v>36</v>
      </c>
      <c r="M38" s="229">
        <v>98</v>
      </c>
      <c r="N38" s="129">
        <f>O38+Q38+S38+U38+V38+W38</f>
        <v>1783.1999999999998</v>
      </c>
      <c r="O38" s="129">
        <v>1499.3</v>
      </c>
      <c r="P38" s="196">
        <f>760.7+0.5</f>
        <v>761.2</v>
      </c>
      <c r="Q38" s="188"/>
      <c r="R38" s="67"/>
      <c r="S38" s="7"/>
      <c r="T38" s="7"/>
      <c r="U38" s="2"/>
      <c r="V38" s="2">
        <v>266.3</v>
      </c>
      <c r="W38" s="2">
        <v>17.6</v>
      </c>
      <c r="X38" s="2">
        <f>V38*1.3</f>
        <v>346.19000000000005</v>
      </c>
      <c r="Y38" s="2">
        <f>W38+X38</f>
        <v>363.7900000000001</v>
      </c>
      <c r="Z38" s="68">
        <f>W38+X38-Y38</f>
        <v>0</v>
      </c>
      <c r="AA38" s="8"/>
      <c r="AB38" s="30"/>
      <c r="AC38">
        <v>20</v>
      </c>
    </row>
    <row r="39" spans="1:29" ht="13.5" thickBot="1">
      <c r="A39" s="193">
        <v>20</v>
      </c>
      <c r="B39" s="2">
        <v>1988</v>
      </c>
      <c r="C39" s="2" t="s">
        <v>87</v>
      </c>
      <c r="D39" s="5" t="s">
        <v>190</v>
      </c>
      <c r="E39" s="4">
        <v>133</v>
      </c>
      <c r="F39" s="4" t="s">
        <v>7</v>
      </c>
      <c r="G39" s="4">
        <v>11</v>
      </c>
      <c r="H39" s="3">
        <v>3</v>
      </c>
      <c r="I39" s="2">
        <v>1</v>
      </c>
      <c r="J39" s="2">
        <v>3</v>
      </c>
      <c r="K39" s="2"/>
      <c r="L39" s="19">
        <v>27</v>
      </c>
      <c r="M39" s="2">
        <v>72</v>
      </c>
      <c r="N39" s="129">
        <v>1757.2</v>
      </c>
      <c r="O39" s="129">
        <v>1485.8</v>
      </c>
      <c r="P39" s="196">
        <f>882.1+3.7-0.6+0.4-0.1-0.3-1.4</f>
        <v>883.8000000000001</v>
      </c>
      <c r="Q39" s="188"/>
      <c r="R39" s="67"/>
      <c r="S39" s="7"/>
      <c r="T39" s="7"/>
      <c r="U39" s="2"/>
      <c r="V39" s="2">
        <v>119.8</v>
      </c>
      <c r="W39" s="2">
        <v>151.6</v>
      </c>
      <c r="X39" s="2">
        <f>V39*1.3</f>
        <v>155.74</v>
      </c>
      <c r="Y39" s="2">
        <f>W39+X39</f>
        <v>307.34000000000003</v>
      </c>
      <c r="Z39" s="68">
        <f>W39+X39-Y39</f>
        <v>0</v>
      </c>
      <c r="AA39" s="107"/>
      <c r="AB39" s="73"/>
      <c r="AC39" s="175">
        <v>21</v>
      </c>
    </row>
    <row r="40" spans="1:29" ht="12.75">
      <c r="A40" s="199"/>
      <c r="B40" s="138"/>
      <c r="C40" s="138"/>
      <c r="D40" s="132"/>
      <c r="E40" s="134"/>
      <c r="F40" s="134"/>
      <c r="G40" s="132"/>
      <c r="H40" s="132"/>
      <c r="I40" s="142">
        <f>SUM(I36:I39)</f>
        <v>4</v>
      </c>
      <c r="J40" s="142">
        <f>SUM(J36:J39)</f>
        <v>12</v>
      </c>
      <c r="K40" s="142">
        <f aca="true" t="shared" si="6" ref="K40:AC40">SUM(K36:K39)</f>
        <v>0</v>
      </c>
      <c r="L40" s="142">
        <f>SUM(L36:L39)</f>
        <v>134</v>
      </c>
      <c r="M40" s="142">
        <f>SUM(M36:M39)</f>
        <v>353</v>
      </c>
      <c r="N40" s="244">
        <f>SUM(N36:N39)</f>
        <v>7069.599999999999</v>
      </c>
      <c r="O40" s="244">
        <f>SUM(O36:O39)</f>
        <v>5954.900000000001</v>
      </c>
      <c r="P40" s="241">
        <f>SUM(P36:P39)</f>
        <v>3137.4000000000005</v>
      </c>
      <c r="Q40" s="238">
        <f t="shared" si="6"/>
        <v>0</v>
      </c>
      <c r="R40" s="142">
        <f t="shared" si="6"/>
        <v>0</v>
      </c>
      <c r="S40" s="142">
        <f t="shared" si="6"/>
        <v>0</v>
      </c>
      <c r="T40" s="142">
        <f t="shared" si="6"/>
        <v>0</v>
      </c>
      <c r="U40" s="142">
        <f t="shared" si="6"/>
        <v>0</v>
      </c>
      <c r="V40" s="142">
        <f t="shared" si="6"/>
        <v>805.3</v>
      </c>
      <c r="W40" s="142">
        <f t="shared" si="6"/>
        <v>309.4</v>
      </c>
      <c r="X40" s="142">
        <f t="shared" si="6"/>
        <v>1046.89</v>
      </c>
      <c r="Y40" s="142">
        <f t="shared" si="6"/>
        <v>1356.29</v>
      </c>
      <c r="Z40" s="142">
        <f t="shared" si="6"/>
        <v>0</v>
      </c>
      <c r="AA40" s="142">
        <f t="shared" si="6"/>
        <v>0</v>
      </c>
      <c r="AB40" s="142">
        <f t="shared" si="6"/>
        <v>0</v>
      </c>
      <c r="AC40" s="142">
        <f t="shared" si="6"/>
        <v>78</v>
      </c>
    </row>
    <row r="41" spans="1:28" ht="12.75">
      <c r="A41" s="193"/>
      <c r="B41" s="2"/>
      <c r="C41" s="2"/>
      <c r="D41" s="4" t="s">
        <v>138</v>
      </c>
      <c r="E41" s="4"/>
      <c r="F41" s="4"/>
      <c r="G41" s="3"/>
      <c r="H41" s="3"/>
      <c r="I41" s="2"/>
      <c r="J41" s="2"/>
      <c r="K41" s="2"/>
      <c r="L41" s="19"/>
      <c r="M41" s="2"/>
      <c r="N41" s="14"/>
      <c r="O41" s="129"/>
      <c r="P41" s="196"/>
      <c r="Q41" s="188"/>
      <c r="R41" s="67"/>
      <c r="S41" s="7"/>
      <c r="T41" s="7"/>
      <c r="U41" s="2"/>
      <c r="V41" s="2"/>
      <c r="W41" s="2"/>
      <c r="X41" s="2"/>
      <c r="Y41" s="2"/>
      <c r="Z41" s="2"/>
      <c r="AA41" s="36"/>
      <c r="AB41" s="35"/>
    </row>
    <row r="42" spans="1:29" ht="16.5" customHeight="1">
      <c r="A42" s="193">
        <v>21</v>
      </c>
      <c r="B42" s="2">
        <v>1990</v>
      </c>
      <c r="C42" s="2" t="s">
        <v>139</v>
      </c>
      <c r="D42" s="5" t="s">
        <v>178</v>
      </c>
      <c r="E42" s="4">
        <v>66</v>
      </c>
      <c r="F42" s="4" t="s">
        <v>7</v>
      </c>
      <c r="G42" s="4" t="s">
        <v>191</v>
      </c>
      <c r="H42" s="3">
        <v>3</v>
      </c>
      <c r="I42" s="2">
        <v>1</v>
      </c>
      <c r="J42" s="2">
        <v>3</v>
      </c>
      <c r="K42" s="2"/>
      <c r="L42" s="19">
        <v>21</v>
      </c>
      <c r="M42" s="2">
        <v>58</v>
      </c>
      <c r="N42" s="129">
        <v>1511.4</v>
      </c>
      <c r="O42" s="129">
        <v>1049.6</v>
      </c>
      <c r="P42" s="196">
        <v>613.1</v>
      </c>
      <c r="Q42" s="188"/>
      <c r="R42" s="67"/>
      <c r="S42" s="7"/>
      <c r="T42" s="7"/>
      <c r="U42" s="2">
        <v>333.7</v>
      </c>
      <c r="V42" s="2">
        <v>128.1</v>
      </c>
      <c r="W42" s="2"/>
      <c r="X42" s="2">
        <f aca="true" t="shared" si="7" ref="X42:X51">V42*1.3</f>
        <v>166.53</v>
      </c>
      <c r="Y42" s="2">
        <f>W42+X42</f>
        <v>166.53</v>
      </c>
      <c r="Z42" s="68">
        <f aca="true" t="shared" si="8" ref="Z42:Z47">W42+X42-Y42</f>
        <v>0</v>
      </c>
      <c r="AA42" s="8">
        <v>66.2</v>
      </c>
      <c r="AB42" s="30"/>
      <c r="AC42" s="175">
        <v>22</v>
      </c>
    </row>
    <row r="43" spans="1:29" ht="25.5">
      <c r="A43" s="193">
        <v>22</v>
      </c>
      <c r="B43" s="2">
        <v>1988</v>
      </c>
      <c r="C43" s="2" t="s">
        <v>139</v>
      </c>
      <c r="D43" s="5" t="s">
        <v>192</v>
      </c>
      <c r="E43" s="4">
        <v>8</v>
      </c>
      <c r="F43" s="4" t="s">
        <v>7</v>
      </c>
      <c r="G43" s="4" t="s">
        <v>181</v>
      </c>
      <c r="H43" s="3">
        <v>5</v>
      </c>
      <c r="I43" s="2">
        <v>1</v>
      </c>
      <c r="J43" s="2">
        <v>4</v>
      </c>
      <c r="K43" s="2"/>
      <c r="L43" s="19">
        <v>57</v>
      </c>
      <c r="M43" s="2">
        <v>128</v>
      </c>
      <c r="N43" s="129">
        <v>3379</v>
      </c>
      <c r="O43" s="129">
        <v>2773.5</v>
      </c>
      <c r="P43" s="196">
        <f>1635.4-29.1-0.1</f>
        <v>1606.2000000000003</v>
      </c>
      <c r="Q43" s="188">
        <v>48.2</v>
      </c>
      <c r="R43" s="67">
        <v>29.1</v>
      </c>
      <c r="S43" s="7"/>
      <c r="T43" s="7"/>
      <c r="U43" s="2">
        <v>180.5</v>
      </c>
      <c r="V43" s="2">
        <v>279.5</v>
      </c>
      <c r="W43" s="2">
        <v>44.1</v>
      </c>
      <c r="X43" s="2">
        <f t="shared" si="7"/>
        <v>363.35</v>
      </c>
      <c r="Y43" s="2">
        <f>X43/H43*3+W43</f>
        <v>262.11</v>
      </c>
      <c r="Z43" s="69">
        <f t="shared" si="8"/>
        <v>145.34000000000003</v>
      </c>
      <c r="AA43" s="8">
        <v>187.2</v>
      </c>
      <c r="AB43" s="30"/>
      <c r="AC43" s="175">
        <v>23</v>
      </c>
    </row>
    <row r="44" spans="1:29" ht="25.5">
      <c r="A44" s="193">
        <v>23</v>
      </c>
      <c r="B44" s="2">
        <v>1992</v>
      </c>
      <c r="C44" s="2" t="s">
        <v>16</v>
      </c>
      <c r="D44" s="5" t="s">
        <v>192</v>
      </c>
      <c r="E44" s="4">
        <v>12</v>
      </c>
      <c r="F44" s="4" t="s">
        <v>7</v>
      </c>
      <c r="G44" s="4" t="s">
        <v>181</v>
      </c>
      <c r="H44" s="3">
        <v>5</v>
      </c>
      <c r="I44" s="2">
        <v>1</v>
      </c>
      <c r="J44" s="2">
        <v>3</v>
      </c>
      <c r="K44" s="2"/>
      <c r="L44" s="19">
        <v>53</v>
      </c>
      <c r="M44" s="2">
        <v>125</v>
      </c>
      <c r="N44" s="129">
        <v>2461.3</v>
      </c>
      <c r="O44" s="129">
        <v>2160</v>
      </c>
      <c r="P44" s="196">
        <f>1154.2-0.1</f>
        <v>1154.1000000000001</v>
      </c>
      <c r="Q44" s="188"/>
      <c r="R44" s="67"/>
      <c r="S44" s="7"/>
      <c r="T44" s="7"/>
      <c r="U44" s="2"/>
      <c r="V44" s="2">
        <v>210.8</v>
      </c>
      <c r="W44" s="2">
        <v>90.5</v>
      </c>
      <c r="X44" s="2">
        <f t="shared" si="7"/>
        <v>274.04</v>
      </c>
      <c r="Y44" s="68">
        <f>X44/H44*3+W44</f>
        <v>254.92400000000004</v>
      </c>
      <c r="Z44" s="68">
        <f t="shared" si="8"/>
        <v>109.61599999999999</v>
      </c>
      <c r="AA44" s="8">
        <v>171.6</v>
      </c>
      <c r="AB44" s="30"/>
      <c r="AC44" s="175">
        <v>24</v>
      </c>
    </row>
    <row r="45" spans="1:29" ht="12.75" customHeight="1">
      <c r="A45" s="193">
        <v>24</v>
      </c>
      <c r="B45" s="2">
        <v>1981</v>
      </c>
      <c r="C45" s="2" t="s">
        <v>139</v>
      </c>
      <c r="D45" s="5" t="s">
        <v>192</v>
      </c>
      <c r="E45" s="4">
        <v>16</v>
      </c>
      <c r="F45" s="4" t="s">
        <v>7</v>
      </c>
      <c r="G45" s="4" t="s">
        <v>191</v>
      </c>
      <c r="H45" s="3">
        <v>3</v>
      </c>
      <c r="I45" s="2">
        <v>1</v>
      </c>
      <c r="J45" s="2">
        <v>3</v>
      </c>
      <c r="K45" s="2"/>
      <c r="L45" s="19">
        <v>33</v>
      </c>
      <c r="M45" s="2">
        <v>93</v>
      </c>
      <c r="N45" s="129">
        <f>O45+Q45+S45+U45+V45+W45</f>
        <v>1480.7000000000003</v>
      </c>
      <c r="O45" s="129">
        <f>1327.2+4.2-4.5</f>
        <v>1326.9</v>
      </c>
      <c r="P45" s="196">
        <f>701.5-0.1+0</f>
        <v>701.4</v>
      </c>
      <c r="Q45" s="188"/>
      <c r="R45" s="67"/>
      <c r="S45" s="7"/>
      <c r="T45" s="7"/>
      <c r="U45" s="2"/>
      <c r="V45" s="2">
        <v>116.4</v>
      </c>
      <c r="W45" s="2">
        <v>37.4</v>
      </c>
      <c r="X45" s="2">
        <f t="shared" si="7"/>
        <v>151.32000000000002</v>
      </c>
      <c r="Y45" s="2">
        <f>W45+X45</f>
        <v>188.72000000000003</v>
      </c>
      <c r="Z45" s="68">
        <f t="shared" si="8"/>
        <v>0</v>
      </c>
      <c r="AA45" s="8">
        <v>121.5</v>
      </c>
      <c r="AB45" s="30"/>
      <c r="AC45" s="175">
        <v>25</v>
      </c>
    </row>
    <row r="46" spans="1:29" ht="25.5">
      <c r="A46" s="193">
        <v>25</v>
      </c>
      <c r="B46" s="2">
        <v>1982</v>
      </c>
      <c r="C46" s="2" t="s">
        <v>139</v>
      </c>
      <c r="D46" s="5" t="s">
        <v>192</v>
      </c>
      <c r="E46" s="4">
        <v>18</v>
      </c>
      <c r="F46" s="4" t="s">
        <v>7</v>
      </c>
      <c r="G46" s="4" t="s">
        <v>181</v>
      </c>
      <c r="H46" s="3">
        <v>5</v>
      </c>
      <c r="I46" s="2">
        <v>1</v>
      </c>
      <c r="J46" s="2">
        <v>3</v>
      </c>
      <c r="K46" s="2"/>
      <c r="L46" s="19">
        <v>45</v>
      </c>
      <c r="M46" s="2">
        <v>117</v>
      </c>
      <c r="N46" s="14">
        <f>O46+Q46+S46+U46+V46+W46</f>
        <v>2461.8</v>
      </c>
      <c r="O46" s="129">
        <f>2219+0.3-0.8</f>
        <v>2218.5</v>
      </c>
      <c r="P46" s="196">
        <f>1278.4+0.2-2</f>
        <v>1276.6000000000001</v>
      </c>
      <c r="Q46" s="188"/>
      <c r="R46" s="67"/>
      <c r="S46" s="7"/>
      <c r="T46" s="7"/>
      <c r="U46" s="2"/>
      <c r="V46" s="2">
        <v>209.8</v>
      </c>
      <c r="W46" s="2">
        <v>33.5</v>
      </c>
      <c r="X46" s="2">
        <f t="shared" si="7"/>
        <v>272.74</v>
      </c>
      <c r="Y46" s="68">
        <f>X46/H46*3+W46</f>
        <v>197.144</v>
      </c>
      <c r="Z46" s="68">
        <f t="shared" si="8"/>
        <v>109.096</v>
      </c>
      <c r="AA46" s="8">
        <v>175</v>
      </c>
      <c r="AB46" s="30"/>
      <c r="AC46" s="175">
        <v>26</v>
      </c>
    </row>
    <row r="47" spans="1:29" ht="25.5">
      <c r="A47" s="193">
        <v>26</v>
      </c>
      <c r="B47" s="2">
        <v>1982</v>
      </c>
      <c r="C47" s="2" t="s">
        <v>139</v>
      </c>
      <c r="D47" s="5" t="s">
        <v>190</v>
      </c>
      <c r="E47" s="4">
        <v>50</v>
      </c>
      <c r="F47" s="4" t="s">
        <v>7</v>
      </c>
      <c r="G47" s="4" t="s">
        <v>181</v>
      </c>
      <c r="H47" s="3">
        <v>5</v>
      </c>
      <c r="I47" s="2">
        <v>1</v>
      </c>
      <c r="J47" s="2">
        <v>4</v>
      </c>
      <c r="K47" s="2"/>
      <c r="L47" s="19">
        <v>59</v>
      </c>
      <c r="M47" s="2">
        <v>155</v>
      </c>
      <c r="N47" s="129">
        <v>3236.6</v>
      </c>
      <c r="O47" s="129">
        <v>2916.2</v>
      </c>
      <c r="P47" s="196">
        <f>1709-0.4-0.2-0.2-0.4+0-28.9</f>
        <v>1678.8999999999996</v>
      </c>
      <c r="Q47" s="188">
        <v>51.5</v>
      </c>
      <c r="R47" s="67">
        <v>28.9</v>
      </c>
      <c r="S47" s="7"/>
      <c r="T47" s="7"/>
      <c r="U47" s="2"/>
      <c r="V47" s="2">
        <v>224.3</v>
      </c>
      <c r="W47" s="2">
        <v>44.6</v>
      </c>
      <c r="X47" s="2">
        <f t="shared" si="7"/>
        <v>291.59000000000003</v>
      </c>
      <c r="Y47" s="68">
        <f>X47/H47*3+W47</f>
        <v>219.554</v>
      </c>
      <c r="Z47" s="68">
        <f t="shared" si="8"/>
        <v>116.63600000000005</v>
      </c>
      <c r="AA47" s="8">
        <v>176.6</v>
      </c>
      <c r="AB47" s="30"/>
      <c r="AC47" s="175">
        <v>27</v>
      </c>
    </row>
    <row r="48" spans="1:29" ht="13.5" customHeight="1">
      <c r="A48" s="193">
        <v>27</v>
      </c>
      <c r="B48" s="2">
        <v>1984</v>
      </c>
      <c r="C48" s="2" t="s">
        <v>16</v>
      </c>
      <c r="D48" s="5" t="s">
        <v>178</v>
      </c>
      <c r="E48" s="4">
        <v>64</v>
      </c>
      <c r="F48" s="4" t="s">
        <v>7</v>
      </c>
      <c r="G48" s="4" t="s">
        <v>203</v>
      </c>
      <c r="H48" s="3">
        <v>2</v>
      </c>
      <c r="I48" s="2">
        <v>1</v>
      </c>
      <c r="J48" s="2">
        <v>4</v>
      </c>
      <c r="K48" s="2"/>
      <c r="L48" s="19">
        <v>16</v>
      </c>
      <c r="M48" s="2">
        <v>58</v>
      </c>
      <c r="N48" s="129">
        <v>1283.02</v>
      </c>
      <c r="O48" s="129">
        <v>1170.12</v>
      </c>
      <c r="P48" s="196">
        <v>833.1</v>
      </c>
      <c r="Q48" s="188"/>
      <c r="R48" s="67"/>
      <c r="S48" s="7"/>
      <c r="T48" s="7"/>
      <c r="U48" s="2"/>
      <c r="V48" s="2">
        <v>112.9</v>
      </c>
      <c r="W48" s="2"/>
      <c r="X48" s="2">
        <f t="shared" si="7"/>
        <v>146.77</v>
      </c>
      <c r="Y48" s="2"/>
      <c r="Z48" s="2">
        <f>W48+X48-Y48</f>
        <v>146.77</v>
      </c>
      <c r="AA48" s="83"/>
      <c r="AB48" s="77"/>
      <c r="AC48" s="175">
        <v>28</v>
      </c>
    </row>
    <row r="49" spans="1:29" ht="16.5" customHeight="1">
      <c r="A49" s="193">
        <v>28</v>
      </c>
      <c r="B49" s="2">
        <v>1983</v>
      </c>
      <c r="C49" s="2" t="s">
        <v>139</v>
      </c>
      <c r="D49" s="5" t="s">
        <v>193</v>
      </c>
      <c r="E49" s="4">
        <v>47</v>
      </c>
      <c r="F49" s="4" t="s">
        <v>7</v>
      </c>
      <c r="G49" s="4" t="s">
        <v>203</v>
      </c>
      <c r="H49" s="3">
        <v>2</v>
      </c>
      <c r="I49" s="2">
        <v>1</v>
      </c>
      <c r="J49" s="2">
        <v>3</v>
      </c>
      <c r="K49" s="2"/>
      <c r="L49" s="19">
        <v>18</v>
      </c>
      <c r="M49" s="2">
        <v>40</v>
      </c>
      <c r="N49" s="129">
        <f>O49+Q49+S49+U49+V49+W49</f>
        <v>985.6999999999999</v>
      </c>
      <c r="O49" s="129">
        <f>902.4-51.3</f>
        <v>851.1</v>
      </c>
      <c r="P49" s="196">
        <f>520.3-29</f>
        <v>491.29999999999995</v>
      </c>
      <c r="Q49" s="188">
        <v>51.3</v>
      </c>
      <c r="R49" s="67">
        <v>29</v>
      </c>
      <c r="S49" s="7"/>
      <c r="T49" s="7"/>
      <c r="U49" s="2"/>
      <c r="V49" s="2">
        <v>72.3</v>
      </c>
      <c r="W49" s="2">
        <v>11</v>
      </c>
      <c r="X49" s="2">
        <f t="shared" si="7"/>
        <v>93.99</v>
      </c>
      <c r="Y49" s="2">
        <f>W49+X49</f>
        <v>104.99</v>
      </c>
      <c r="Z49" s="68">
        <f>W49+X49-Y49</f>
        <v>0</v>
      </c>
      <c r="AA49" s="8"/>
      <c r="AB49" s="30"/>
      <c r="AC49" s="175">
        <v>30</v>
      </c>
    </row>
    <row r="50" spans="1:29" ht="13.5" customHeight="1">
      <c r="A50" s="193">
        <v>29</v>
      </c>
      <c r="B50" s="2">
        <v>1981</v>
      </c>
      <c r="C50" s="2" t="s">
        <v>139</v>
      </c>
      <c r="D50" s="5" t="s">
        <v>178</v>
      </c>
      <c r="E50" s="4">
        <v>62</v>
      </c>
      <c r="F50" s="4" t="s">
        <v>7</v>
      </c>
      <c r="G50" s="4" t="s">
        <v>203</v>
      </c>
      <c r="H50" s="3">
        <v>2</v>
      </c>
      <c r="I50" s="2">
        <v>1</v>
      </c>
      <c r="J50" s="2">
        <v>2</v>
      </c>
      <c r="K50" s="2"/>
      <c r="L50" s="19">
        <v>12</v>
      </c>
      <c r="M50" s="2">
        <v>36</v>
      </c>
      <c r="N50" s="129">
        <f>O50+Q50+S50+U50+V50+W50</f>
        <v>653.7</v>
      </c>
      <c r="O50" s="129">
        <v>599.9</v>
      </c>
      <c r="P50" s="196">
        <v>344.5</v>
      </c>
      <c r="Q50" s="188"/>
      <c r="R50" s="67"/>
      <c r="S50" s="7"/>
      <c r="T50" s="7"/>
      <c r="U50" s="2"/>
      <c r="V50" s="2">
        <v>47.6</v>
      </c>
      <c r="W50" s="2">
        <v>6.2</v>
      </c>
      <c r="X50" s="2">
        <f t="shared" si="7"/>
        <v>61.88</v>
      </c>
      <c r="Y50" s="2">
        <f>W50+X50</f>
        <v>68.08</v>
      </c>
      <c r="Z50" s="68">
        <f>W50+X50-Y50</f>
        <v>0</v>
      </c>
      <c r="AA50" s="8"/>
      <c r="AB50" s="30"/>
      <c r="AC50" s="175">
        <v>31</v>
      </c>
    </row>
    <row r="51" spans="1:29" ht="26.25" thickBot="1">
      <c r="A51" s="193">
        <v>30</v>
      </c>
      <c r="B51" s="2">
        <v>1992</v>
      </c>
      <c r="C51" s="2" t="s">
        <v>139</v>
      </c>
      <c r="D51" s="5" t="s">
        <v>22</v>
      </c>
      <c r="E51" s="4">
        <v>41</v>
      </c>
      <c r="F51" s="4" t="s">
        <v>7</v>
      </c>
      <c r="G51" s="4" t="s">
        <v>204</v>
      </c>
      <c r="H51" s="3">
        <v>5</v>
      </c>
      <c r="I51" s="2">
        <v>1</v>
      </c>
      <c r="J51" s="2">
        <v>4</v>
      </c>
      <c r="K51" s="2"/>
      <c r="L51" s="19">
        <v>60</v>
      </c>
      <c r="M51" s="2">
        <v>174</v>
      </c>
      <c r="N51" s="129">
        <v>3360.9</v>
      </c>
      <c r="O51" s="129">
        <v>2970.7</v>
      </c>
      <c r="P51" s="196">
        <f>1712.1-42.6-0.3</f>
        <v>1669.2</v>
      </c>
      <c r="Q51" s="188">
        <v>65.2</v>
      </c>
      <c r="R51" s="67">
        <v>42.6</v>
      </c>
      <c r="S51" s="7"/>
      <c r="T51" s="7"/>
      <c r="U51" s="2"/>
      <c r="V51" s="2">
        <v>280.9</v>
      </c>
      <c r="W51" s="2">
        <v>44.1</v>
      </c>
      <c r="X51" s="2">
        <f t="shared" si="7"/>
        <v>365.16999999999996</v>
      </c>
      <c r="Y51" s="68">
        <f>X51/H51*3+W51</f>
        <v>263.202</v>
      </c>
      <c r="Z51" s="68">
        <f>W51+X51-Y51</f>
        <v>146.06799999999998</v>
      </c>
      <c r="AA51" s="107">
        <v>201.6</v>
      </c>
      <c r="AB51" s="73"/>
      <c r="AC51" s="175">
        <v>32</v>
      </c>
    </row>
    <row r="52" spans="1:28" ht="13.5" thickBot="1">
      <c r="A52" s="199"/>
      <c r="B52" s="138"/>
      <c r="C52" s="138"/>
      <c r="D52" s="132"/>
      <c r="E52" s="134"/>
      <c r="F52" s="134"/>
      <c r="G52" s="132"/>
      <c r="H52" s="132"/>
      <c r="I52" s="142">
        <f>SUM(I42:I51)</f>
        <v>10</v>
      </c>
      <c r="J52" s="142">
        <f>SUM(J42:J51)</f>
        <v>33</v>
      </c>
      <c r="K52" s="142">
        <f aca="true" t="shared" si="9" ref="K52:AB52">SUM(K42:K51)</f>
        <v>0</v>
      </c>
      <c r="L52" s="142">
        <f>SUM(L42:L51)</f>
        <v>374</v>
      </c>
      <c r="M52" s="142">
        <f>SUM(M42:M51)</f>
        <v>984</v>
      </c>
      <c r="N52" s="244">
        <f>SUM(N42:N51)</f>
        <v>20814.120000000003</v>
      </c>
      <c r="O52" s="244">
        <f>SUM(O42:O51)</f>
        <v>18036.52</v>
      </c>
      <c r="P52" s="241">
        <f>SUM(P42:P51)</f>
        <v>10368.400000000001</v>
      </c>
      <c r="Q52" s="190">
        <f t="shared" si="9"/>
        <v>216.2</v>
      </c>
      <c r="R52" s="144">
        <f t="shared" si="9"/>
        <v>129.6</v>
      </c>
      <c r="S52" s="60">
        <f t="shared" si="9"/>
        <v>0</v>
      </c>
      <c r="T52" s="60">
        <f t="shared" si="9"/>
        <v>0</v>
      </c>
      <c r="U52" s="60">
        <f t="shared" si="9"/>
        <v>514.2</v>
      </c>
      <c r="V52" s="147">
        <f t="shared" si="9"/>
        <v>1682.6</v>
      </c>
      <c r="W52" s="60">
        <f t="shared" si="9"/>
        <v>311.40000000000003</v>
      </c>
      <c r="X52" s="60">
        <f t="shared" si="9"/>
        <v>2187.38</v>
      </c>
      <c r="Y52" s="60">
        <f t="shared" si="9"/>
        <v>1725.2540000000001</v>
      </c>
      <c r="Z52" s="148">
        <f t="shared" si="9"/>
        <v>773.5260000000001</v>
      </c>
      <c r="AA52" s="108">
        <f t="shared" si="9"/>
        <v>1099.7</v>
      </c>
      <c r="AB52" s="75">
        <f t="shared" si="9"/>
        <v>0</v>
      </c>
    </row>
    <row r="53" spans="1:28" ht="12.75">
      <c r="A53" s="193"/>
      <c r="B53" s="2"/>
      <c r="C53" s="2"/>
      <c r="D53" s="4" t="s">
        <v>140</v>
      </c>
      <c r="E53" s="4"/>
      <c r="F53" s="4"/>
      <c r="G53" s="3"/>
      <c r="H53" s="3"/>
      <c r="I53" s="2"/>
      <c r="J53" s="2"/>
      <c r="K53" s="2"/>
      <c r="L53" s="44"/>
      <c r="M53" s="2"/>
      <c r="N53" s="14"/>
      <c r="O53" s="129"/>
      <c r="P53" s="196"/>
      <c r="Q53" s="188"/>
      <c r="R53" s="67"/>
      <c r="S53" s="7"/>
      <c r="T53" s="7"/>
      <c r="U53" s="2"/>
      <c r="V53" s="2"/>
      <c r="W53" s="2"/>
      <c r="X53" s="2"/>
      <c r="Y53" s="2"/>
      <c r="Z53" s="68"/>
      <c r="AA53" s="71"/>
      <c r="AB53" s="34"/>
    </row>
    <row r="54" spans="1:29" ht="15" customHeight="1" thickBot="1">
      <c r="A54" s="193">
        <v>31</v>
      </c>
      <c r="B54" s="2">
        <v>1995</v>
      </c>
      <c r="C54" s="2"/>
      <c r="D54" s="5" t="s">
        <v>194</v>
      </c>
      <c r="E54" s="4" t="s">
        <v>49</v>
      </c>
      <c r="F54" s="4" t="s">
        <v>7</v>
      </c>
      <c r="G54" s="4" t="s">
        <v>191</v>
      </c>
      <c r="H54" s="3">
        <v>3</v>
      </c>
      <c r="I54" s="2">
        <v>1</v>
      </c>
      <c r="J54" s="2">
        <v>2</v>
      </c>
      <c r="K54" s="2"/>
      <c r="L54" s="19">
        <v>18</v>
      </c>
      <c r="M54" s="2">
        <v>55</v>
      </c>
      <c r="N54" s="129">
        <v>939.2</v>
      </c>
      <c r="O54" s="129">
        <v>839.6</v>
      </c>
      <c r="P54" s="196">
        <v>485.3</v>
      </c>
      <c r="Q54" s="188"/>
      <c r="R54" s="67"/>
      <c r="S54" s="7"/>
      <c r="T54" s="7"/>
      <c r="U54" s="2"/>
      <c r="V54" s="2">
        <v>86.2</v>
      </c>
      <c r="W54" s="2">
        <v>13.4</v>
      </c>
      <c r="X54" s="69">
        <f>V54*1.3</f>
        <v>112.06</v>
      </c>
      <c r="Y54" s="68">
        <f>W54+X54</f>
        <v>125.46000000000001</v>
      </c>
      <c r="Z54" s="68">
        <f>W54+X54-Y54</f>
        <v>0</v>
      </c>
      <c r="AA54" s="72"/>
      <c r="AB54" s="70">
        <v>63.5</v>
      </c>
      <c r="AC54" s="175">
        <v>33</v>
      </c>
    </row>
    <row r="55" spans="1:28" ht="13.5" thickBot="1">
      <c r="A55" s="201"/>
      <c r="B55" s="142"/>
      <c r="C55" s="142"/>
      <c r="D55" s="134"/>
      <c r="E55" s="134"/>
      <c r="F55" s="134"/>
      <c r="G55" s="134"/>
      <c r="H55" s="134"/>
      <c r="I55" s="142">
        <f aca="true" t="shared" si="10" ref="I55:AB55">SUM(I54)</f>
        <v>1</v>
      </c>
      <c r="J55" s="142">
        <f t="shared" si="10"/>
        <v>2</v>
      </c>
      <c r="K55" s="142">
        <f t="shared" si="10"/>
        <v>0</v>
      </c>
      <c r="L55" s="143">
        <f t="shared" si="10"/>
        <v>18</v>
      </c>
      <c r="M55" s="142">
        <f t="shared" si="10"/>
        <v>55</v>
      </c>
      <c r="N55" s="135">
        <f t="shared" si="10"/>
        <v>939.2</v>
      </c>
      <c r="O55" s="135">
        <f t="shared" si="10"/>
        <v>839.6</v>
      </c>
      <c r="P55" s="200">
        <f t="shared" si="10"/>
        <v>485.3</v>
      </c>
      <c r="Q55" s="191">
        <f t="shared" si="10"/>
        <v>0</v>
      </c>
      <c r="R55" s="60">
        <f t="shared" si="10"/>
        <v>0</v>
      </c>
      <c r="S55" s="60">
        <f t="shared" si="10"/>
        <v>0</v>
      </c>
      <c r="T55" s="60">
        <f t="shared" si="10"/>
        <v>0</v>
      </c>
      <c r="U55" s="60">
        <f t="shared" si="10"/>
        <v>0</v>
      </c>
      <c r="V55" s="60">
        <f t="shared" si="10"/>
        <v>86.2</v>
      </c>
      <c r="W55" s="60">
        <f t="shared" si="10"/>
        <v>13.4</v>
      </c>
      <c r="X55" s="149">
        <f t="shared" si="10"/>
        <v>112.06</v>
      </c>
      <c r="Y55" s="146">
        <f t="shared" si="10"/>
        <v>125.46000000000001</v>
      </c>
      <c r="Z55" s="146">
        <f t="shared" si="10"/>
        <v>0</v>
      </c>
      <c r="AA55" s="76">
        <f t="shared" si="10"/>
        <v>0</v>
      </c>
      <c r="AB55" s="74">
        <f t="shared" si="10"/>
        <v>63.5</v>
      </c>
    </row>
    <row r="56" spans="1:28" ht="12.75">
      <c r="A56" s="193"/>
      <c r="B56" s="2"/>
      <c r="C56" s="2"/>
      <c r="D56" s="4" t="s">
        <v>141</v>
      </c>
      <c r="E56" s="4"/>
      <c r="F56" s="4"/>
      <c r="G56" s="3"/>
      <c r="H56" s="3"/>
      <c r="I56" s="2"/>
      <c r="J56" s="2"/>
      <c r="K56" s="2"/>
      <c r="L56" s="19"/>
      <c r="M56" s="2"/>
      <c r="N56" s="14"/>
      <c r="O56" s="129"/>
      <c r="P56" s="196"/>
      <c r="Q56" s="188"/>
      <c r="R56" s="67"/>
      <c r="S56" s="7"/>
      <c r="T56" s="7"/>
      <c r="U56" s="2"/>
      <c r="V56" s="2"/>
      <c r="W56" s="2"/>
      <c r="X56" s="2"/>
      <c r="Y56" s="2"/>
      <c r="Z56" s="68"/>
      <c r="AA56" s="71"/>
      <c r="AB56" s="34"/>
    </row>
    <row r="57" spans="1:29" ht="15.75" customHeight="1">
      <c r="A57" s="193">
        <v>32</v>
      </c>
      <c r="B57" s="2">
        <v>1989</v>
      </c>
      <c r="C57" s="2"/>
      <c r="D57" s="5" t="s">
        <v>195</v>
      </c>
      <c r="E57" s="4">
        <v>83</v>
      </c>
      <c r="F57" s="4" t="s">
        <v>152</v>
      </c>
      <c r="G57" s="4" t="s">
        <v>205</v>
      </c>
      <c r="H57" s="3">
        <v>3</v>
      </c>
      <c r="I57" s="2">
        <v>1</v>
      </c>
      <c r="J57" s="2">
        <v>3</v>
      </c>
      <c r="K57" s="2"/>
      <c r="L57" s="19">
        <v>27</v>
      </c>
      <c r="M57" s="2">
        <v>70</v>
      </c>
      <c r="N57" s="129">
        <v>1341.42</v>
      </c>
      <c r="O57" s="129">
        <v>1209.92</v>
      </c>
      <c r="P57" s="196">
        <v>678.6</v>
      </c>
      <c r="Q57" s="188"/>
      <c r="R57" s="67"/>
      <c r="S57" s="7"/>
      <c r="T57" s="7"/>
      <c r="U57" s="2"/>
      <c r="V57" s="2">
        <v>120.5</v>
      </c>
      <c r="W57" s="2">
        <v>11</v>
      </c>
      <c r="X57" s="69">
        <f>V57*1.3</f>
        <v>156.65</v>
      </c>
      <c r="Y57" s="69">
        <f>W57+X57</f>
        <v>167.65</v>
      </c>
      <c r="Z57" s="68">
        <f>W57+X57-Y57</f>
        <v>0</v>
      </c>
      <c r="AA57" s="6"/>
      <c r="AB57" s="2">
        <v>72.1</v>
      </c>
      <c r="AC57" s="175">
        <v>34</v>
      </c>
    </row>
    <row r="58" spans="1:29" ht="15" customHeight="1" thickBot="1">
      <c r="A58" s="193">
        <v>33</v>
      </c>
      <c r="B58" s="2">
        <v>1990</v>
      </c>
      <c r="C58" s="2"/>
      <c r="D58" s="5" t="s">
        <v>195</v>
      </c>
      <c r="E58" s="4">
        <v>84</v>
      </c>
      <c r="F58" s="4" t="s">
        <v>152</v>
      </c>
      <c r="G58" s="4" t="s">
        <v>205</v>
      </c>
      <c r="H58" s="3">
        <v>3</v>
      </c>
      <c r="I58" s="2">
        <v>1</v>
      </c>
      <c r="J58" s="2">
        <v>3</v>
      </c>
      <c r="K58" s="2"/>
      <c r="L58" s="19">
        <v>27</v>
      </c>
      <c r="M58" s="2">
        <v>73</v>
      </c>
      <c r="N58" s="129">
        <v>1333.8</v>
      </c>
      <c r="O58" s="129">
        <f>1209.6-1.1-0.9</f>
        <v>1207.6</v>
      </c>
      <c r="P58" s="196">
        <f>669.4-0.2-0.4</f>
        <v>668.8</v>
      </c>
      <c r="Q58" s="188"/>
      <c r="R58" s="67"/>
      <c r="S58" s="7"/>
      <c r="T58" s="7"/>
      <c r="U58" s="2"/>
      <c r="V58" s="2">
        <v>119.7</v>
      </c>
      <c r="W58" s="2">
        <v>6.9</v>
      </c>
      <c r="X58" s="69">
        <f>V58*1.3</f>
        <v>155.61</v>
      </c>
      <c r="Y58" s="69">
        <f>W58+X58</f>
        <v>162.51000000000002</v>
      </c>
      <c r="Z58" s="68">
        <f>W58+X58-Y58</f>
        <v>0</v>
      </c>
      <c r="AA58" s="85"/>
      <c r="AB58" s="84">
        <v>73</v>
      </c>
      <c r="AC58" s="175">
        <v>35</v>
      </c>
    </row>
    <row r="59" spans="1:28" ht="12.75">
      <c r="A59" s="199"/>
      <c r="B59" s="138"/>
      <c r="C59" s="138"/>
      <c r="D59" s="134"/>
      <c r="E59" s="134"/>
      <c r="F59" s="134"/>
      <c r="G59" s="132"/>
      <c r="H59" s="132"/>
      <c r="I59" s="142">
        <f aca="true" t="shared" si="11" ref="I59:AB59">SUM(I57:I58)</f>
        <v>2</v>
      </c>
      <c r="J59" s="142">
        <f t="shared" si="11"/>
        <v>6</v>
      </c>
      <c r="K59" s="142">
        <f t="shared" si="11"/>
        <v>0</v>
      </c>
      <c r="L59" s="143">
        <f t="shared" si="11"/>
        <v>54</v>
      </c>
      <c r="M59" s="142">
        <f t="shared" si="11"/>
        <v>143</v>
      </c>
      <c r="N59" s="135">
        <f t="shared" si="11"/>
        <v>2675.2200000000003</v>
      </c>
      <c r="O59" s="135">
        <f t="shared" si="11"/>
        <v>2417.52</v>
      </c>
      <c r="P59" s="200">
        <f t="shared" si="11"/>
        <v>1347.4</v>
      </c>
      <c r="Q59" s="191">
        <f t="shared" si="11"/>
        <v>0</v>
      </c>
      <c r="R59" s="60">
        <f t="shared" si="11"/>
        <v>0</v>
      </c>
      <c r="S59" s="60">
        <f t="shared" si="11"/>
        <v>0</v>
      </c>
      <c r="T59" s="60">
        <f t="shared" si="11"/>
        <v>0</v>
      </c>
      <c r="U59" s="60">
        <f t="shared" si="11"/>
        <v>0</v>
      </c>
      <c r="V59" s="60">
        <f t="shared" si="11"/>
        <v>240.2</v>
      </c>
      <c r="W59" s="60">
        <f t="shared" si="11"/>
        <v>17.9</v>
      </c>
      <c r="X59" s="149">
        <f t="shared" si="11"/>
        <v>312.26</v>
      </c>
      <c r="Y59" s="147">
        <f t="shared" si="11"/>
        <v>330.16</v>
      </c>
      <c r="Z59" s="146">
        <f t="shared" si="11"/>
        <v>0</v>
      </c>
      <c r="AA59" s="109">
        <f t="shared" si="11"/>
        <v>0</v>
      </c>
      <c r="AB59" s="98">
        <f t="shared" si="11"/>
        <v>145.1</v>
      </c>
    </row>
    <row r="60" spans="1:28" ht="12.75">
      <c r="A60" s="202"/>
      <c r="B60" s="7"/>
      <c r="C60" s="7"/>
      <c r="D60" s="60" t="s">
        <v>199</v>
      </c>
      <c r="E60" s="7"/>
      <c r="F60" s="7"/>
      <c r="G60" s="2"/>
      <c r="H60" s="7"/>
      <c r="I60" s="7"/>
      <c r="J60" s="7"/>
      <c r="K60" s="7"/>
      <c r="L60" s="7"/>
      <c r="M60" s="7"/>
      <c r="N60" s="7"/>
      <c r="O60" s="7"/>
      <c r="P60" s="198"/>
      <c r="Q60" s="31"/>
      <c r="R60" s="7"/>
      <c r="S60" s="7"/>
      <c r="T60" s="7"/>
      <c r="U60" s="7"/>
      <c r="V60" s="7"/>
      <c r="W60" s="7"/>
      <c r="X60" s="7"/>
      <c r="Y60" s="7"/>
      <c r="Z60" s="7"/>
      <c r="AA60" s="31"/>
      <c r="AB60" s="7"/>
    </row>
    <row r="61" spans="1:29" ht="13.5" thickBot="1">
      <c r="A61" s="193">
        <v>34</v>
      </c>
      <c r="B61" s="2">
        <v>2008</v>
      </c>
      <c r="C61" s="2"/>
      <c r="D61" s="5" t="s">
        <v>200</v>
      </c>
      <c r="E61" s="4">
        <v>46</v>
      </c>
      <c r="F61" s="4" t="s">
        <v>7</v>
      </c>
      <c r="G61" s="4" t="s">
        <v>188</v>
      </c>
      <c r="H61" s="3">
        <v>4</v>
      </c>
      <c r="I61" s="2">
        <v>1</v>
      </c>
      <c r="J61" s="2">
        <v>3</v>
      </c>
      <c r="K61" s="2"/>
      <c r="L61" s="19">
        <v>47</v>
      </c>
      <c r="M61" s="2">
        <v>98</v>
      </c>
      <c r="N61" s="129">
        <v>2570.6</v>
      </c>
      <c r="O61" s="129">
        <v>2185.2</v>
      </c>
      <c r="P61" s="196">
        <v>1503.3</v>
      </c>
      <c r="Q61" s="188"/>
      <c r="R61" s="67"/>
      <c r="S61" s="7"/>
      <c r="T61" s="7"/>
      <c r="U61" s="2"/>
      <c r="V61" s="2">
        <v>228.6</v>
      </c>
      <c r="W61" s="2">
        <v>156.9</v>
      </c>
      <c r="X61" s="2">
        <f>V61*1.3</f>
        <v>297.18</v>
      </c>
      <c r="Y61" s="2">
        <f>W61+X61</f>
        <v>454.08000000000004</v>
      </c>
      <c r="Z61" s="68">
        <f>W61+X61-Y61</f>
        <v>0</v>
      </c>
      <c r="AA61" s="72"/>
      <c r="AB61" s="70"/>
      <c r="AC61" s="175">
        <v>36</v>
      </c>
    </row>
    <row r="62" spans="1:29" ht="12.75">
      <c r="A62" s="193">
        <v>35</v>
      </c>
      <c r="B62" s="2">
        <v>2008</v>
      </c>
      <c r="C62" s="2"/>
      <c r="D62" s="5" t="s">
        <v>200</v>
      </c>
      <c r="E62" s="4">
        <v>41</v>
      </c>
      <c r="F62" s="4" t="s">
        <v>7</v>
      </c>
      <c r="G62" s="4" t="s">
        <v>188</v>
      </c>
      <c r="H62" s="3">
        <v>4</v>
      </c>
      <c r="I62" s="2">
        <v>1</v>
      </c>
      <c r="J62" s="2">
        <v>3</v>
      </c>
      <c r="K62" s="2"/>
      <c r="L62" s="19">
        <v>36</v>
      </c>
      <c r="M62" s="2">
        <v>64</v>
      </c>
      <c r="N62" s="129">
        <v>3396.7</v>
      </c>
      <c r="O62" s="129">
        <v>2297.8</v>
      </c>
      <c r="P62" s="196">
        <v>1246</v>
      </c>
      <c r="Q62" s="188"/>
      <c r="R62" s="67"/>
      <c r="S62" s="7">
        <f>785.5+4</f>
        <v>789.5</v>
      </c>
      <c r="T62" s="7"/>
      <c r="U62" s="2"/>
      <c r="V62" s="2">
        <f>11.6+11.6+11.6+11.6+11.6+11.6+11.6+11.6+11.6+72.3</f>
        <v>176.7</v>
      </c>
      <c r="W62" s="123">
        <f>45.6+29.2+28.7+29.2</f>
        <v>132.7</v>
      </c>
      <c r="X62" s="2">
        <f>V62*1.3</f>
        <v>229.70999999999998</v>
      </c>
      <c r="Y62" s="123">
        <f>W62+X62</f>
        <v>362.40999999999997</v>
      </c>
      <c r="Z62" s="68">
        <f>W62+X62-Y62</f>
        <v>0</v>
      </c>
      <c r="AA62" s="54">
        <v>111.6</v>
      </c>
      <c r="AB62" s="100"/>
      <c r="AC62" s="175">
        <v>37</v>
      </c>
    </row>
    <row r="63" spans="1:28" ht="12.75">
      <c r="A63" s="203"/>
      <c r="B63" s="60"/>
      <c r="C63" s="60"/>
      <c r="D63" s="4"/>
      <c r="E63" s="4"/>
      <c r="F63" s="4"/>
      <c r="G63" s="4"/>
      <c r="H63" s="4"/>
      <c r="I63" s="60">
        <f>SUM(I61:I62)</f>
        <v>2</v>
      </c>
      <c r="J63" s="60">
        <f>SUM(J61:J62)</f>
        <v>6</v>
      </c>
      <c r="K63" s="60"/>
      <c r="L63" s="15">
        <f>SUM(L61:L62)</f>
        <v>83</v>
      </c>
      <c r="M63" s="60">
        <f>SUM(M61:M62)</f>
        <v>162</v>
      </c>
      <c r="N63" s="150">
        <f>SUM(N61,N62)</f>
        <v>5967.299999999999</v>
      </c>
      <c r="O63" s="150">
        <f>SUM(O61:O62)</f>
        <v>4483</v>
      </c>
      <c r="P63" s="204">
        <f>SUM(P61:P62)</f>
        <v>2749.3</v>
      </c>
      <c r="Q63" s="190"/>
      <c r="R63" s="144"/>
      <c r="S63" s="62">
        <f>SUM(S51:S62)</f>
        <v>789.5</v>
      </c>
      <c r="T63" s="145"/>
      <c r="U63" s="60"/>
      <c r="V63" s="147">
        <f>SUM(V61:V62)</f>
        <v>405.29999999999995</v>
      </c>
      <c r="W63" s="60">
        <f>SUM(W61:W62)</f>
        <v>289.6</v>
      </c>
      <c r="X63" s="60">
        <f>SUM(X61:X62)</f>
        <v>526.89</v>
      </c>
      <c r="Y63" s="60">
        <f>SUM(Y61:Y62)</f>
        <v>816.49</v>
      </c>
      <c r="Z63" s="146">
        <f>SUM(Z61)</f>
        <v>0</v>
      </c>
      <c r="AA63" s="110">
        <f>SUM(AA61:AA62)</f>
        <v>111.6</v>
      </c>
      <c r="AB63" s="99"/>
    </row>
    <row r="64" spans="1:28" ht="12.75">
      <c r="A64" s="193"/>
      <c r="B64" s="2"/>
      <c r="C64" s="2"/>
      <c r="D64" s="60" t="s">
        <v>221</v>
      </c>
      <c r="E64" s="4"/>
      <c r="F64" s="4"/>
      <c r="G64" s="3"/>
      <c r="H64" s="3"/>
      <c r="I64" s="2"/>
      <c r="J64" s="2"/>
      <c r="K64" s="2"/>
      <c r="L64" s="44"/>
      <c r="M64" s="2"/>
      <c r="N64" s="14"/>
      <c r="O64" s="129"/>
      <c r="P64" s="196"/>
      <c r="Q64" s="188"/>
      <c r="R64" s="67"/>
      <c r="S64" s="7"/>
      <c r="T64" s="7"/>
      <c r="U64" s="2"/>
      <c r="V64" s="2"/>
      <c r="W64" s="2"/>
      <c r="X64" s="2"/>
      <c r="Y64" s="2"/>
      <c r="Z64" s="68"/>
      <c r="AA64" s="71"/>
      <c r="AB64" s="34"/>
    </row>
    <row r="65" spans="1:28" ht="12.75">
      <c r="A65" s="193">
        <v>36</v>
      </c>
      <c r="B65" s="2">
        <v>1982</v>
      </c>
      <c r="C65" s="60"/>
      <c r="D65" s="5" t="s">
        <v>207</v>
      </c>
      <c r="E65" s="4" t="s">
        <v>208</v>
      </c>
      <c r="F65" s="4" t="s">
        <v>7</v>
      </c>
      <c r="G65" s="4">
        <v>1</v>
      </c>
      <c r="H65" s="4">
        <v>8</v>
      </c>
      <c r="I65" s="60">
        <v>1</v>
      </c>
      <c r="J65" s="60">
        <v>1</v>
      </c>
      <c r="K65" s="60"/>
      <c r="L65" s="19">
        <v>103</v>
      </c>
      <c r="M65" s="2">
        <v>241</v>
      </c>
      <c r="N65" s="129">
        <v>3951.59</v>
      </c>
      <c r="O65" s="129">
        <v>3087.19</v>
      </c>
      <c r="P65" s="196">
        <v>3064.1</v>
      </c>
      <c r="Q65" s="190"/>
      <c r="R65" s="144"/>
      <c r="S65" s="62"/>
      <c r="T65" s="145"/>
      <c r="U65" s="60"/>
      <c r="V65" s="147"/>
      <c r="W65" s="60"/>
      <c r="X65" s="60"/>
      <c r="Y65" s="60"/>
      <c r="Z65" s="146"/>
      <c r="AA65" s="110"/>
      <c r="AB65" s="99"/>
    </row>
    <row r="66" spans="1:28" ht="12.75">
      <c r="A66" s="193">
        <v>37</v>
      </c>
      <c r="B66" s="2">
        <v>1986</v>
      </c>
      <c r="C66" s="60"/>
      <c r="D66" s="5" t="s">
        <v>28</v>
      </c>
      <c r="E66" s="4">
        <v>61</v>
      </c>
      <c r="F66" s="4" t="s">
        <v>7</v>
      </c>
      <c r="G66" s="4">
        <v>1</v>
      </c>
      <c r="H66" s="4">
        <v>8</v>
      </c>
      <c r="I66" s="60">
        <v>1</v>
      </c>
      <c r="J66" s="60">
        <v>1</v>
      </c>
      <c r="K66" s="60"/>
      <c r="L66" s="19"/>
      <c r="M66" s="2">
        <v>232</v>
      </c>
      <c r="N66" s="129">
        <v>4765</v>
      </c>
      <c r="O66" s="129">
        <v>3025.2</v>
      </c>
      <c r="P66" s="196">
        <v>1930.1</v>
      </c>
      <c r="Q66" s="190"/>
      <c r="R66" s="144"/>
      <c r="S66" s="62"/>
      <c r="T66" s="145"/>
      <c r="U66" s="60"/>
      <c r="V66" s="147"/>
      <c r="W66" s="60"/>
      <c r="X66" s="60"/>
      <c r="Y66" s="60"/>
      <c r="Z66" s="146"/>
      <c r="AA66" s="227"/>
      <c r="AB66" s="228"/>
    </row>
    <row r="67" spans="1:28" ht="12.75">
      <c r="A67" s="193">
        <v>38</v>
      </c>
      <c r="B67" s="2">
        <v>1987</v>
      </c>
      <c r="C67" s="2"/>
      <c r="D67" s="5" t="s">
        <v>6</v>
      </c>
      <c r="E67" s="4">
        <v>18</v>
      </c>
      <c r="F67" s="4" t="s">
        <v>7</v>
      </c>
      <c r="G67" s="3">
        <v>1</v>
      </c>
      <c r="H67" s="3">
        <v>8</v>
      </c>
      <c r="I67" s="2">
        <v>1</v>
      </c>
      <c r="J67" s="2">
        <v>1</v>
      </c>
      <c r="K67" s="2"/>
      <c r="L67" s="19">
        <v>91</v>
      </c>
      <c r="M67" s="2">
        <v>235</v>
      </c>
      <c r="N67" s="14">
        <v>4826.78</v>
      </c>
      <c r="O67" s="129">
        <v>4053.5</v>
      </c>
      <c r="P67" s="196">
        <v>1870.7</v>
      </c>
      <c r="Q67" s="188"/>
      <c r="R67" s="67"/>
      <c r="S67" s="7"/>
      <c r="T67" s="7"/>
      <c r="U67" s="2"/>
      <c r="V67" s="2"/>
      <c r="W67" s="2"/>
      <c r="X67" s="2"/>
      <c r="Y67" s="2"/>
      <c r="Z67" s="68"/>
      <c r="AA67" s="173"/>
      <c r="AB67" s="174"/>
    </row>
    <row r="68" spans="1:28" ht="12.75">
      <c r="A68" s="193"/>
      <c r="B68" s="2"/>
      <c r="C68" s="2"/>
      <c r="D68" s="5"/>
      <c r="E68" s="4"/>
      <c r="F68" s="4"/>
      <c r="G68" s="3"/>
      <c r="H68" s="3"/>
      <c r="I68" s="60">
        <f aca="true" t="shared" si="12" ref="I68:P68">SUM(I65:I67)</f>
        <v>3</v>
      </c>
      <c r="J68" s="60">
        <f t="shared" si="12"/>
        <v>3</v>
      </c>
      <c r="K68" s="60">
        <f t="shared" si="12"/>
        <v>0</v>
      </c>
      <c r="L68" s="60">
        <f t="shared" si="12"/>
        <v>194</v>
      </c>
      <c r="M68" s="60">
        <f t="shared" si="12"/>
        <v>708</v>
      </c>
      <c r="N68" s="149">
        <f t="shared" si="12"/>
        <v>13543.369999999999</v>
      </c>
      <c r="O68" s="149">
        <f t="shared" si="12"/>
        <v>10165.89</v>
      </c>
      <c r="P68" s="259">
        <f t="shared" si="12"/>
        <v>6864.9</v>
      </c>
      <c r="Q68" s="188"/>
      <c r="R68" s="67"/>
      <c r="S68" s="7"/>
      <c r="T68" s="7"/>
      <c r="U68" s="2"/>
      <c r="V68" s="2"/>
      <c r="W68" s="2"/>
      <c r="X68" s="2"/>
      <c r="Y68" s="2"/>
      <c r="Z68" s="68"/>
      <c r="AA68" s="173"/>
      <c r="AB68" s="174"/>
    </row>
    <row r="69" spans="1:29" ht="13.5" thickBot="1">
      <c r="A69" s="201"/>
      <c r="B69" s="142"/>
      <c r="C69" s="142"/>
      <c r="D69" s="151" t="s">
        <v>25</v>
      </c>
      <c r="E69" s="134"/>
      <c r="F69" s="134"/>
      <c r="G69" s="134"/>
      <c r="H69" s="134"/>
      <c r="I69" s="152">
        <f aca="true" t="shared" si="13" ref="I69:P69">I27+I34+I40+I52+I55+I59+I63+I68</f>
        <v>38</v>
      </c>
      <c r="J69" s="152">
        <f t="shared" si="13"/>
        <v>147</v>
      </c>
      <c r="K69" s="152">
        <f t="shared" si="13"/>
        <v>2</v>
      </c>
      <c r="L69" s="152">
        <f t="shared" si="13"/>
        <v>2112</v>
      </c>
      <c r="M69" s="152">
        <f t="shared" si="13"/>
        <v>5804</v>
      </c>
      <c r="N69" s="152">
        <f t="shared" si="13"/>
        <v>121198.12</v>
      </c>
      <c r="O69" s="152">
        <f t="shared" si="13"/>
        <v>104022.84000000001</v>
      </c>
      <c r="P69" s="291">
        <f t="shared" si="13"/>
        <v>61797.10000000001</v>
      </c>
      <c r="Q69" s="239">
        <f aca="true" t="shared" si="14" ref="Q69:AC69">Q34+Q27+Q40+Q52+Q55+Q59+Q63+Q65+Q66</f>
        <v>315.7</v>
      </c>
      <c r="R69" s="152">
        <f t="shared" si="14"/>
        <v>187.39999999999998</v>
      </c>
      <c r="S69" s="152">
        <f t="shared" si="14"/>
        <v>895.5</v>
      </c>
      <c r="T69" s="152">
        <f t="shared" si="14"/>
        <v>72.7</v>
      </c>
      <c r="U69" s="152">
        <f t="shared" si="14"/>
        <v>984.7</v>
      </c>
      <c r="V69" s="152">
        <f t="shared" si="14"/>
        <v>8990</v>
      </c>
      <c r="W69" s="152">
        <f t="shared" si="14"/>
        <v>2559.3000000000006</v>
      </c>
      <c r="X69" s="152">
        <f t="shared" si="14"/>
        <v>11687</v>
      </c>
      <c r="Y69" s="152">
        <f t="shared" si="14"/>
        <v>10846.774</v>
      </c>
      <c r="Z69" s="152">
        <f t="shared" si="14"/>
        <v>3399.526</v>
      </c>
      <c r="AA69" s="152">
        <f t="shared" si="14"/>
        <v>2263.7000000000003</v>
      </c>
      <c r="AB69" s="152">
        <f t="shared" si="14"/>
        <v>352.75</v>
      </c>
      <c r="AC69" s="152">
        <f t="shared" si="14"/>
        <v>78</v>
      </c>
    </row>
    <row r="70" spans="1:28" ht="12.75">
      <c r="A70" s="205"/>
      <c r="B70" s="19"/>
      <c r="C70" s="19"/>
      <c r="D70" s="20" t="s">
        <v>38</v>
      </c>
      <c r="E70" s="21"/>
      <c r="F70" s="21"/>
      <c r="G70" s="21"/>
      <c r="H70" s="21"/>
      <c r="I70" s="21"/>
      <c r="J70" s="21"/>
      <c r="K70" s="21"/>
      <c r="L70" s="22"/>
      <c r="M70" s="154"/>
      <c r="N70" s="120"/>
      <c r="O70" s="120"/>
      <c r="P70" s="206"/>
      <c r="Q70" s="24"/>
      <c r="R70" s="22"/>
      <c r="S70" s="22"/>
      <c r="T70" s="22"/>
      <c r="U70" s="22"/>
      <c r="V70" s="22"/>
      <c r="W70" s="22"/>
      <c r="X70" s="22"/>
      <c r="Y70" s="22"/>
      <c r="Z70" s="22"/>
      <c r="AA70" s="43"/>
      <c r="AB70" s="43"/>
    </row>
    <row r="71" spans="1:29" ht="12.75">
      <c r="A71" s="205">
        <v>39</v>
      </c>
      <c r="B71" s="19">
        <v>1987</v>
      </c>
      <c r="C71" s="19" t="s">
        <v>16</v>
      </c>
      <c r="D71" s="27" t="s">
        <v>39</v>
      </c>
      <c r="E71" s="20">
        <v>15</v>
      </c>
      <c r="F71" s="20" t="s">
        <v>7</v>
      </c>
      <c r="G71" s="46">
        <v>10</v>
      </c>
      <c r="H71" s="21">
        <v>3</v>
      </c>
      <c r="I71" s="21">
        <v>1</v>
      </c>
      <c r="J71" s="21">
        <v>3</v>
      </c>
      <c r="K71" s="21"/>
      <c r="L71" s="21">
        <v>24</v>
      </c>
      <c r="M71" s="19">
        <v>57</v>
      </c>
      <c r="N71" s="120">
        <f>O71+Q71+S71+U71+V71+W71</f>
        <v>1401.1000000000001</v>
      </c>
      <c r="O71" s="120">
        <f>1172.2-63-1.1</f>
        <v>1108.1000000000001</v>
      </c>
      <c r="P71" s="206">
        <f>726.7-40.7-0.6</f>
        <v>685.4</v>
      </c>
      <c r="Q71" s="24"/>
      <c r="R71" s="22"/>
      <c r="S71" s="22">
        <f>86.5+83.3</f>
        <v>169.8</v>
      </c>
      <c r="T71" s="22">
        <f>50.6+96.9</f>
        <v>147.5</v>
      </c>
      <c r="U71" s="22"/>
      <c r="V71" s="22">
        <v>119</v>
      </c>
      <c r="W71" s="22">
        <v>4.2</v>
      </c>
      <c r="X71" s="58">
        <f aca="true" t="shared" si="15" ref="X71:X78">V71*1.3</f>
        <v>154.70000000000002</v>
      </c>
      <c r="Y71" s="58">
        <f aca="true" t="shared" si="16" ref="Y71:Y76">W71+X71</f>
        <v>158.9</v>
      </c>
      <c r="Z71" s="58">
        <f aca="true" t="shared" si="17" ref="Z71:Z78">W71+X71-Y71</f>
        <v>0</v>
      </c>
      <c r="AA71" s="96"/>
      <c r="AB71" s="95">
        <v>54.2</v>
      </c>
      <c r="AC71" s="175">
        <v>1</v>
      </c>
    </row>
    <row r="72" spans="1:29" ht="12.75">
      <c r="A72" s="205">
        <v>40</v>
      </c>
      <c r="B72" s="19">
        <v>1990</v>
      </c>
      <c r="C72" s="19" t="s">
        <v>16</v>
      </c>
      <c r="D72" s="27" t="s">
        <v>39</v>
      </c>
      <c r="E72" s="20" t="s">
        <v>119</v>
      </c>
      <c r="F72" s="20" t="s">
        <v>7</v>
      </c>
      <c r="G72" s="46">
        <v>10</v>
      </c>
      <c r="H72" s="21">
        <v>3</v>
      </c>
      <c r="I72" s="21">
        <v>1</v>
      </c>
      <c r="J72" s="21">
        <v>3</v>
      </c>
      <c r="K72" s="21"/>
      <c r="L72" s="19">
        <v>23</v>
      </c>
      <c r="M72" s="21">
        <v>84</v>
      </c>
      <c r="N72" s="120">
        <v>1402.5</v>
      </c>
      <c r="O72" s="121">
        <v>1220.9</v>
      </c>
      <c r="P72" s="206">
        <f>747-1.1+0.4-2</f>
        <v>744.3</v>
      </c>
      <c r="Q72" s="211"/>
      <c r="R72" s="50"/>
      <c r="S72" s="22"/>
      <c r="T72" s="22"/>
      <c r="U72" s="154">
        <v>51.5</v>
      </c>
      <c r="V72" s="22">
        <v>117.7</v>
      </c>
      <c r="W72" s="22">
        <v>13.3</v>
      </c>
      <c r="X72" s="22">
        <f t="shared" si="15"/>
        <v>153.01000000000002</v>
      </c>
      <c r="Y72" s="58">
        <f t="shared" si="16"/>
        <v>166.31000000000003</v>
      </c>
      <c r="Z72" s="58">
        <f t="shared" si="17"/>
        <v>0</v>
      </c>
      <c r="AA72" s="111">
        <v>53.7</v>
      </c>
      <c r="AB72" s="97"/>
      <c r="AC72" s="175">
        <v>2</v>
      </c>
    </row>
    <row r="73" spans="1:29" ht="12.75">
      <c r="A73" s="205">
        <v>41</v>
      </c>
      <c r="B73" s="19">
        <v>1985</v>
      </c>
      <c r="C73" s="19" t="s">
        <v>16</v>
      </c>
      <c r="D73" s="27" t="s">
        <v>39</v>
      </c>
      <c r="E73" s="20" t="s">
        <v>184</v>
      </c>
      <c r="F73" s="20" t="s">
        <v>151</v>
      </c>
      <c r="G73" s="20">
        <v>12</v>
      </c>
      <c r="H73" s="21">
        <v>3</v>
      </c>
      <c r="I73" s="21">
        <v>1</v>
      </c>
      <c r="J73" s="21">
        <v>1</v>
      </c>
      <c r="K73" s="21"/>
      <c r="L73" s="21">
        <v>8</v>
      </c>
      <c r="M73" s="19">
        <v>26</v>
      </c>
      <c r="N73" s="120">
        <v>464.2</v>
      </c>
      <c r="O73" s="120">
        <v>380.1</v>
      </c>
      <c r="P73" s="206">
        <v>188</v>
      </c>
      <c r="Q73" s="24"/>
      <c r="R73" s="22"/>
      <c r="S73" s="22"/>
      <c r="T73" s="22"/>
      <c r="U73" s="22"/>
      <c r="V73" s="22">
        <v>54.2</v>
      </c>
      <c r="W73" s="22">
        <v>29.9</v>
      </c>
      <c r="X73" s="22">
        <f t="shared" si="15"/>
        <v>70.46000000000001</v>
      </c>
      <c r="Y73" s="58">
        <f t="shared" si="16"/>
        <v>100.36000000000001</v>
      </c>
      <c r="Z73" s="58">
        <f t="shared" si="17"/>
        <v>0</v>
      </c>
      <c r="AA73" s="42"/>
      <c r="AB73" s="24">
        <v>57.9</v>
      </c>
      <c r="AC73" s="175">
        <v>3</v>
      </c>
    </row>
    <row r="74" spans="1:29" ht="12.75">
      <c r="A74" s="205">
        <v>42</v>
      </c>
      <c r="B74" s="19">
        <v>1985</v>
      </c>
      <c r="C74" s="19" t="s">
        <v>16</v>
      </c>
      <c r="D74" s="27" t="s">
        <v>39</v>
      </c>
      <c r="E74" s="20" t="s">
        <v>185</v>
      </c>
      <c r="F74" s="20" t="s">
        <v>151</v>
      </c>
      <c r="G74" s="20">
        <v>12</v>
      </c>
      <c r="H74" s="21">
        <v>3</v>
      </c>
      <c r="I74" s="21">
        <v>1</v>
      </c>
      <c r="J74" s="21">
        <v>1</v>
      </c>
      <c r="K74" s="21"/>
      <c r="L74" s="21">
        <v>6</v>
      </c>
      <c r="M74" s="19">
        <v>22</v>
      </c>
      <c r="N74" s="120">
        <v>442.1</v>
      </c>
      <c r="O74" s="120">
        <v>388.3</v>
      </c>
      <c r="P74" s="206">
        <v>218.7</v>
      </c>
      <c r="Q74" s="24"/>
      <c r="R74" s="22"/>
      <c r="S74" s="22"/>
      <c r="T74" s="22"/>
      <c r="U74" s="22"/>
      <c r="V74" s="22">
        <v>27.1</v>
      </c>
      <c r="W74" s="22">
        <v>26.7</v>
      </c>
      <c r="X74" s="22">
        <f t="shared" si="15"/>
        <v>35.230000000000004</v>
      </c>
      <c r="Y74" s="58">
        <f t="shared" si="16"/>
        <v>61.93000000000001</v>
      </c>
      <c r="Z74" s="58">
        <f t="shared" si="17"/>
        <v>0</v>
      </c>
      <c r="AA74" s="47"/>
      <c r="AB74" s="25">
        <v>57.9</v>
      </c>
      <c r="AC74" s="175">
        <v>4</v>
      </c>
    </row>
    <row r="75" spans="1:29" ht="12.75">
      <c r="A75" s="205">
        <v>43</v>
      </c>
      <c r="B75" s="19">
        <v>1987</v>
      </c>
      <c r="C75" s="19" t="s">
        <v>16</v>
      </c>
      <c r="D75" s="27" t="s">
        <v>28</v>
      </c>
      <c r="E75" s="20">
        <v>101</v>
      </c>
      <c r="F75" s="20" t="s">
        <v>151</v>
      </c>
      <c r="G75" s="20">
        <v>12</v>
      </c>
      <c r="H75" s="21">
        <v>3</v>
      </c>
      <c r="I75" s="21">
        <v>1</v>
      </c>
      <c r="J75" s="21">
        <v>1</v>
      </c>
      <c r="K75" s="21"/>
      <c r="L75" s="21">
        <v>4</v>
      </c>
      <c r="M75" s="19">
        <v>15</v>
      </c>
      <c r="N75" s="120">
        <f>O75+Q75+S75+U75+V75+W75</f>
        <v>439.7</v>
      </c>
      <c r="O75" s="120">
        <v>257.4</v>
      </c>
      <c r="P75" s="206">
        <v>151.8</v>
      </c>
      <c r="Q75" s="24"/>
      <c r="R75" s="22"/>
      <c r="S75" s="21"/>
      <c r="T75" s="22"/>
      <c r="U75" s="22">
        <v>120.5</v>
      </c>
      <c r="V75" s="22">
        <v>41.5</v>
      </c>
      <c r="W75" s="22">
        <v>20.3</v>
      </c>
      <c r="X75" s="22">
        <f t="shared" si="15"/>
        <v>53.95</v>
      </c>
      <c r="Y75" s="58">
        <f t="shared" si="16"/>
        <v>74.25</v>
      </c>
      <c r="Z75" s="58">
        <f t="shared" si="17"/>
        <v>0</v>
      </c>
      <c r="AA75" s="42"/>
      <c r="AB75" s="24">
        <v>57.9</v>
      </c>
      <c r="AC75" s="175">
        <v>5</v>
      </c>
    </row>
    <row r="76" spans="1:29" ht="12.75">
      <c r="A76" s="205">
        <v>44</v>
      </c>
      <c r="B76" s="19">
        <v>1989</v>
      </c>
      <c r="C76" s="19" t="s">
        <v>16</v>
      </c>
      <c r="D76" s="27" t="s">
        <v>190</v>
      </c>
      <c r="E76" s="20" t="s">
        <v>147</v>
      </c>
      <c r="F76" s="20" t="s">
        <v>7</v>
      </c>
      <c r="G76" s="20">
        <v>10</v>
      </c>
      <c r="H76" s="21">
        <v>3</v>
      </c>
      <c r="I76" s="21">
        <v>1</v>
      </c>
      <c r="J76" s="21">
        <v>3</v>
      </c>
      <c r="K76" s="21"/>
      <c r="L76" s="21">
        <v>30</v>
      </c>
      <c r="M76" s="19">
        <v>103</v>
      </c>
      <c r="N76" s="120">
        <v>1743.9</v>
      </c>
      <c r="O76" s="120">
        <v>1581.9</v>
      </c>
      <c r="P76" s="206">
        <v>922.5</v>
      </c>
      <c r="Q76" s="24"/>
      <c r="R76" s="22"/>
      <c r="S76" s="21"/>
      <c r="T76" s="22"/>
      <c r="U76" s="22"/>
      <c r="V76" s="22">
        <v>73.9</v>
      </c>
      <c r="W76" s="22">
        <v>88.1</v>
      </c>
      <c r="X76" s="22">
        <f t="shared" si="15"/>
        <v>96.07000000000001</v>
      </c>
      <c r="Y76" s="58">
        <f t="shared" si="16"/>
        <v>184.17000000000002</v>
      </c>
      <c r="Z76" s="58">
        <f t="shared" si="17"/>
        <v>0</v>
      </c>
      <c r="AA76" s="24">
        <v>37.8</v>
      </c>
      <c r="AB76" s="22"/>
      <c r="AC76" s="175">
        <v>6</v>
      </c>
    </row>
    <row r="77" spans="1:29" ht="12.75">
      <c r="A77" s="205">
        <v>45</v>
      </c>
      <c r="B77" s="19">
        <v>1983</v>
      </c>
      <c r="C77" s="19" t="s">
        <v>16</v>
      </c>
      <c r="D77" s="27" t="s">
        <v>39</v>
      </c>
      <c r="E77" s="20" t="s">
        <v>114</v>
      </c>
      <c r="F77" s="20" t="s">
        <v>7</v>
      </c>
      <c r="G77" s="20">
        <v>8</v>
      </c>
      <c r="H77" s="21">
        <v>3</v>
      </c>
      <c r="I77" s="21">
        <v>1</v>
      </c>
      <c r="J77" s="21">
        <v>2</v>
      </c>
      <c r="K77" s="21"/>
      <c r="L77" s="21">
        <v>24</v>
      </c>
      <c r="M77" s="19">
        <v>79</v>
      </c>
      <c r="N77" s="120">
        <f>O77+Q77+S77+U77+V77+W77</f>
        <v>1476.2</v>
      </c>
      <c r="O77" s="120">
        <f>1340.5-1</f>
        <v>1339.5</v>
      </c>
      <c r="P77" s="206">
        <f>761.3-0.4</f>
        <v>760.9</v>
      </c>
      <c r="Q77" s="24"/>
      <c r="R77" s="22"/>
      <c r="S77" s="21"/>
      <c r="T77" s="22"/>
      <c r="U77" s="22"/>
      <c r="V77" s="22">
        <v>99.2</v>
      </c>
      <c r="W77" s="22">
        <v>37.5</v>
      </c>
      <c r="X77" s="22">
        <f t="shared" si="15"/>
        <v>128.96</v>
      </c>
      <c r="Y77" s="80">
        <f>X77/H77*3+W77</f>
        <v>166.46</v>
      </c>
      <c r="Z77" s="58">
        <f t="shared" si="17"/>
        <v>0</v>
      </c>
      <c r="AA77" s="24"/>
      <c r="AB77" s="22"/>
      <c r="AC77" s="175">
        <v>7</v>
      </c>
    </row>
    <row r="78" spans="1:29" ht="12.75">
      <c r="A78" s="205">
        <v>46</v>
      </c>
      <c r="B78" s="19">
        <v>1991</v>
      </c>
      <c r="C78" s="19" t="s">
        <v>16</v>
      </c>
      <c r="D78" s="27" t="s">
        <v>39</v>
      </c>
      <c r="E78" s="20" t="s">
        <v>142</v>
      </c>
      <c r="F78" s="20" t="s">
        <v>7</v>
      </c>
      <c r="G78" s="20">
        <v>10</v>
      </c>
      <c r="H78" s="21">
        <v>3</v>
      </c>
      <c r="I78" s="21">
        <v>1</v>
      </c>
      <c r="J78" s="21">
        <v>3</v>
      </c>
      <c r="K78" s="21"/>
      <c r="L78" s="21">
        <v>32</v>
      </c>
      <c r="M78" s="19">
        <v>101</v>
      </c>
      <c r="N78" s="120">
        <v>1842.5</v>
      </c>
      <c r="O78" s="120">
        <v>1665</v>
      </c>
      <c r="P78" s="206">
        <v>932.5</v>
      </c>
      <c r="Q78" s="24"/>
      <c r="R78" s="22"/>
      <c r="S78" s="21"/>
      <c r="T78" s="22"/>
      <c r="U78" s="22"/>
      <c r="V78" s="22">
        <v>137.1</v>
      </c>
      <c r="W78" s="22">
        <v>40.4</v>
      </c>
      <c r="X78" s="22">
        <f t="shared" si="15"/>
        <v>178.23</v>
      </c>
      <c r="Y78" s="58">
        <f>X78/H78*3+W78</f>
        <v>218.63</v>
      </c>
      <c r="Z78" s="22">
        <f t="shared" si="17"/>
        <v>0</v>
      </c>
      <c r="AA78" s="24">
        <v>28.7</v>
      </c>
      <c r="AB78" s="22"/>
      <c r="AC78" s="175">
        <v>8</v>
      </c>
    </row>
    <row r="79" spans="1:28" ht="12.75">
      <c r="A79" s="205">
        <v>47</v>
      </c>
      <c r="B79" s="19">
        <v>2011</v>
      </c>
      <c r="C79" s="19"/>
      <c r="D79" s="27" t="s">
        <v>39</v>
      </c>
      <c r="E79" s="20" t="s">
        <v>224</v>
      </c>
      <c r="F79" s="20" t="s">
        <v>7</v>
      </c>
      <c r="G79" s="20" t="s">
        <v>223</v>
      </c>
      <c r="H79" s="21">
        <v>3</v>
      </c>
      <c r="I79" s="21">
        <v>1</v>
      </c>
      <c r="J79" s="21">
        <v>4</v>
      </c>
      <c r="K79" s="21"/>
      <c r="L79" s="21">
        <v>54</v>
      </c>
      <c r="M79" s="19">
        <v>135</v>
      </c>
      <c r="N79" s="120">
        <v>4669</v>
      </c>
      <c r="O79" s="120">
        <v>3126.3</v>
      </c>
      <c r="P79" s="206">
        <v>1881.5</v>
      </c>
      <c r="Q79" s="24"/>
      <c r="R79" s="22"/>
      <c r="S79" s="21"/>
      <c r="T79" s="22"/>
      <c r="U79" s="22"/>
      <c r="V79" s="22"/>
      <c r="W79" s="22"/>
      <c r="X79" s="22"/>
      <c r="Y79" s="58"/>
      <c r="Z79" s="22"/>
      <c r="AA79" s="226"/>
      <c r="AB79" s="290"/>
    </row>
    <row r="80" spans="1:28" ht="13.5" thickBot="1">
      <c r="A80" s="215"/>
      <c r="B80" s="155"/>
      <c r="C80" s="155"/>
      <c r="D80" s="156"/>
      <c r="E80" s="157"/>
      <c r="F80" s="157"/>
      <c r="G80" s="157"/>
      <c r="H80" s="157"/>
      <c r="I80" s="158">
        <f>SUM(I71:I79)</f>
        <v>9</v>
      </c>
      <c r="J80" s="158">
        <f>SUM(J71:J79)</f>
        <v>21</v>
      </c>
      <c r="K80" s="158">
        <f>SUM(K71:K78)</f>
        <v>0</v>
      </c>
      <c r="L80" s="158">
        <f>SUM(L71:L79)</f>
        <v>205</v>
      </c>
      <c r="M80" s="158">
        <f>SUM(M71:M79)</f>
        <v>622</v>
      </c>
      <c r="N80" s="158">
        <f>SUM(N71:N79)</f>
        <v>13881.2</v>
      </c>
      <c r="O80" s="158">
        <f>SUM(O71:O79)</f>
        <v>11067.5</v>
      </c>
      <c r="P80" s="242">
        <f>SUM(P71:P79)</f>
        <v>6485.6</v>
      </c>
      <c r="Q80" s="212">
        <f>SUM(Q71:Q78)</f>
        <v>0</v>
      </c>
      <c r="R80" s="212">
        <f>SUM(R71:R78)</f>
        <v>0</v>
      </c>
      <c r="S80" s="20">
        <f aca="true" t="shared" si="18" ref="S80:AB80">SUM(S71:S78)</f>
        <v>169.8</v>
      </c>
      <c r="T80" s="20">
        <f t="shared" si="18"/>
        <v>147.5</v>
      </c>
      <c r="U80" s="20">
        <f t="shared" si="18"/>
        <v>172</v>
      </c>
      <c r="V80" s="20">
        <f t="shared" si="18"/>
        <v>669.7</v>
      </c>
      <c r="W80" s="20">
        <f t="shared" si="18"/>
        <v>260.4</v>
      </c>
      <c r="X80" s="59">
        <f t="shared" si="18"/>
        <v>870.6100000000001</v>
      </c>
      <c r="Y80" s="59">
        <f t="shared" si="18"/>
        <v>1131.0100000000002</v>
      </c>
      <c r="Z80" s="59">
        <f t="shared" si="18"/>
        <v>0</v>
      </c>
      <c r="AA80" s="82">
        <f t="shared" si="18"/>
        <v>120.2</v>
      </c>
      <c r="AB80" s="81">
        <f t="shared" si="18"/>
        <v>227.9</v>
      </c>
    </row>
    <row r="81" spans="1:28" ht="12.75">
      <c r="A81" s="205"/>
      <c r="B81" s="19"/>
      <c r="C81" s="19"/>
      <c r="D81" s="20" t="s">
        <v>44</v>
      </c>
      <c r="E81" s="21"/>
      <c r="F81" s="21"/>
      <c r="G81" s="21"/>
      <c r="H81" s="21"/>
      <c r="I81" s="21"/>
      <c r="J81" s="21"/>
      <c r="K81" s="21"/>
      <c r="L81" s="22"/>
      <c r="M81" s="154"/>
      <c r="N81" s="120"/>
      <c r="O81" s="120"/>
      <c r="P81" s="206"/>
      <c r="Q81" s="24"/>
      <c r="R81" s="22"/>
      <c r="S81" s="22"/>
      <c r="T81" s="22"/>
      <c r="U81" s="22"/>
      <c r="V81" s="22"/>
      <c r="W81" s="22"/>
      <c r="X81" s="22"/>
      <c r="Y81" s="22"/>
      <c r="Z81" s="22"/>
      <c r="AA81" s="41"/>
      <c r="AB81" s="23"/>
    </row>
    <row r="82" spans="1:29" ht="12.75">
      <c r="A82" s="205">
        <v>48</v>
      </c>
      <c r="B82" s="19">
        <v>1990</v>
      </c>
      <c r="C82" s="19" t="s">
        <v>16</v>
      </c>
      <c r="D82" s="27" t="s">
        <v>39</v>
      </c>
      <c r="E82" s="20">
        <v>41</v>
      </c>
      <c r="F82" s="20" t="s">
        <v>7</v>
      </c>
      <c r="G82" s="20">
        <v>8</v>
      </c>
      <c r="H82" s="20">
        <v>5</v>
      </c>
      <c r="I82" s="20">
        <v>1</v>
      </c>
      <c r="J82" s="20">
        <v>3</v>
      </c>
      <c r="K82" s="20"/>
      <c r="L82" s="21">
        <v>36</v>
      </c>
      <c r="M82" s="19">
        <v>98</v>
      </c>
      <c r="N82" s="120">
        <v>2438.6</v>
      </c>
      <c r="O82" s="120">
        <v>1817</v>
      </c>
      <c r="P82" s="206">
        <v>1043.5</v>
      </c>
      <c r="Q82" s="24"/>
      <c r="R82" s="22"/>
      <c r="S82" s="22"/>
      <c r="T82" s="22"/>
      <c r="U82" s="22">
        <v>423.8</v>
      </c>
      <c r="V82" s="22">
        <v>167.7</v>
      </c>
      <c r="W82" s="22">
        <v>75.7</v>
      </c>
      <c r="X82" s="22">
        <f aca="true" t="shared" si="19" ref="X82:X87">V82*1.3</f>
        <v>218.01</v>
      </c>
      <c r="Y82" s="58">
        <f aca="true" t="shared" si="20" ref="Y82:Y87">X82/H82*3+W82</f>
        <v>206.50599999999997</v>
      </c>
      <c r="Z82" s="58">
        <f aca="true" t="shared" si="21" ref="Z82:Z87">W82+X82-Y82</f>
        <v>87.20400000000001</v>
      </c>
      <c r="AA82" s="112"/>
      <c r="AB82" s="63"/>
      <c r="AC82" s="175">
        <v>10</v>
      </c>
    </row>
    <row r="83" spans="1:29" ht="12.75">
      <c r="A83" s="205">
        <v>49</v>
      </c>
      <c r="B83" s="19">
        <v>1990</v>
      </c>
      <c r="C83" s="19" t="s">
        <v>16</v>
      </c>
      <c r="D83" s="27" t="s">
        <v>39</v>
      </c>
      <c r="E83" s="20" t="s">
        <v>45</v>
      </c>
      <c r="F83" s="20" t="s">
        <v>7</v>
      </c>
      <c r="G83" s="20">
        <v>8</v>
      </c>
      <c r="H83" s="20">
        <v>5</v>
      </c>
      <c r="I83" s="20">
        <v>1</v>
      </c>
      <c r="J83" s="20">
        <v>3</v>
      </c>
      <c r="K83" s="20"/>
      <c r="L83" s="21">
        <v>36</v>
      </c>
      <c r="M83" s="19">
        <v>97</v>
      </c>
      <c r="N83" s="120">
        <v>2474.5</v>
      </c>
      <c r="O83" s="121">
        <f>1814.1</f>
        <v>1814.1</v>
      </c>
      <c r="P83" s="207">
        <f>1047.4+1.9</f>
        <v>1049.3000000000002</v>
      </c>
      <c r="Q83" s="24"/>
      <c r="R83" s="22"/>
      <c r="S83" s="22"/>
      <c r="T83" s="22"/>
      <c r="U83" s="22">
        <v>420.9</v>
      </c>
      <c r="V83" s="22">
        <v>211</v>
      </c>
      <c r="W83" s="22">
        <v>33.5</v>
      </c>
      <c r="X83" s="22">
        <f t="shared" si="19"/>
        <v>274.3</v>
      </c>
      <c r="Y83" s="58">
        <f t="shared" si="20"/>
        <v>198.07999999999998</v>
      </c>
      <c r="Z83" s="58">
        <f t="shared" si="21"/>
        <v>109.72000000000003</v>
      </c>
      <c r="AA83" s="42"/>
      <c r="AB83" s="24"/>
      <c r="AC83" s="175">
        <v>11</v>
      </c>
    </row>
    <row r="84" spans="1:29" ht="12.75">
      <c r="A84" s="205">
        <v>50</v>
      </c>
      <c r="B84" s="19">
        <v>1989</v>
      </c>
      <c r="C84" s="19" t="s">
        <v>16</v>
      </c>
      <c r="D84" s="27" t="s">
        <v>39</v>
      </c>
      <c r="E84" s="20" t="s">
        <v>46</v>
      </c>
      <c r="F84" s="20" t="s">
        <v>7</v>
      </c>
      <c r="G84" s="20">
        <v>8</v>
      </c>
      <c r="H84" s="20">
        <v>5</v>
      </c>
      <c r="I84" s="20">
        <v>1</v>
      </c>
      <c r="J84" s="20">
        <v>3</v>
      </c>
      <c r="K84" s="20"/>
      <c r="L84" s="21">
        <v>37</v>
      </c>
      <c r="M84" s="19">
        <v>107</v>
      </c>
      <c r="N84" s="120">
        <v>2347.5</v>
      </c>
      <c r="O84" s="121">
        <f>1932.8</f>
        <v>1932.8</v>
      </c>
      <c r="P84" s="207">
        <f>931.9+26.1+2.7+2.8</f>
        <v>963.5</v>
      </c>
      <c r="Q84" s="24"/>
      <c r="R84" s="22"/>
      <c r="S84" s="22"/>
      <c r="T84" s="22"/>
      <c r="U84" s="22">
        <f>415.7-50.8</f>
        <v>364.9</v>
      </c>
      <c r="V84" s="22">
        <v>208</v>
      </c>
      <c r="W84" s="22">
        <v>33.3</v>
      </c>
      <c r="X84" s="22">
        <f t="shared" si="19"/>
        <v>270.40000000000003</v>
      </c>
      <c r="Y84" s="58">
        <f t="shared" si="20"/>
        <v>195.54000000000002</v>
      </c>
      <c r="Z84" s="58">
        <f t="shared" si="21"/>
        <v>108.16000000000003</v>
      </c>
      <c r="AA84" s="42"/>
      <c r="AB84" s="24"/>
      <c r="AC84" s="175">
        <v>12</v>
      </c>
    </row>
    <row r="85" spans="1:29" ht="12.75">
      <c r="A85" s="205">
        <v>51</v>
      </c>
      <c r="B85" s="19">
        <v>1995</v>
      </c>
      <c r="C85" s="19" t="s">
        <v>16</v>
      </c>
      <c r="D85" s="27" t="s">
        <v>39</v>
      </c>
      <c r="E85" s="20" t="s">
        <v>34</v>
      </c>
      <c r="F85" s="20" t="s">
        <v>7</v>
      </c>
      <c r="G85" s="20">
        <v>8</v>
      </c>
      <c r="H85" s="20">
        <v>5</v>
      </c>
      <c r="I85" s="20">
        <v>1</v>
      </c>
      <c r="J85" s="20">
        <v>2</v>
      </c>
      <c r="K85" s="20"/>
      <c r="L85" s="21">
        <v>29</v>
      </c>
      <c r="M85" s="19">
        <v>85</v>
      </c>
      <c r="N85" s="120">
        <v>2054.4</v>
      </c>
      <c r="O85" s="120">
        <v>1705.7</v>
      </c>
      <c r="P85" s="206">
        <f>948.2+31-0.1+0.9</f>
        <v>980</v>
      </c>
      <c r="Q85" s="24"/>
      <c r="R85" s="22"/>
      <c r="S85" s="22">
        <f>106.4-53.3</f>
        <v>53.10000000000001</v>
      </c>
      <c r="T85" s="22">
        <f>61.7-31</f>
        <v>30.700000000000003</v>
      </c>
      <c r="U85" s="22"/>
      <c r="V85" s="22">
        <v>205.6</v>
      </c>
      <c r="W85" s="22">
        <v>85.6</v>
      </c>
      <c r="X85" s="22">
        <f t="shared" si="19"/>
        <v>267.28000000000003</v>
      </c>
      <c r="Y85" s="58">
        <f t="shared" si="20"/>
        <v>245.968</v>
      </c>
      <c r="Z85" s="58">
        <f t="shared" si="21"/>
        <v>106.912</v>
      </c>
      <c r="AA85" s="42"/>
      <c r="AB85" s="24">
        <v>51</v>
      </c>
      <c r="AC85" s="175">
        <v>13</v>
      </c>
    </row>
    <row r="86" spans="1:29" ht="12.75">
      <c r="A86" s="205">
        <v>52</v>
      </c>
      <c r="B86" s="19">
        <v>1990</v>
      </c>
      <c r="C86" s="19" t="s">
        <v>16</v>
      </c>
      <c r="D86" s="27" t="s">
        <v>39</v>
      </c>
      <c r="E86" s="20" t="s">
        <v>47</v>
      </c>
      <c r="F86" s="20" t="s">
        <v>7</v>
      </c>
      <c r="G86" s="20">
        <v>8</v>
      </c>
      <c r="H86" s="20">
        <v>5</v>
      </c>
      <c r="I86" s="20">
        <v>1</v>
      </c>
      <c r="J86" s="20">
        <v>3</v>
      </c>
      <c r="K86" s="20"/>
      <c r="L86" s="21">
        <v>36</v>
      </c>
      <c r="M86" s="19">
        <v>93</v>
      </c>
      <c r="N86" s="120">
        <v>2446.39</v>
      </c>
      <c r="O86" s="120">
        <v>1893.6</v>
      </c>
      <c r="P86" s="206">
        <f>1043.8-0.5</f>
        <v>1043.3</v>
      </c>
      <c r="Q86" s="24"/>
      <c r="R86" s="22"/>
      <c r="S86" s="22"/>
      <c r="T86" s="22"/>
      <c r="U86" s="22">
        <v>420.5</v>
      </c>
      <c r="V86" s="22">
        <v>209.4</v>
      </c>
      <c r="W86" s="22">
        <v>33.2</v>
      </c>
      <c r="X86" s="22">
        <f t="shared" si="19"/>
        <v>272.22</v>
      </c>
      <c r="Y86" s="58">
        <f t="shared" si="20"/>
        <v>196.53199999999998</v>
      </c>
      <c r="Z86" s="58">
        <f t="shared" si="21"/>
        <v>108.88800000000003</v>
      </c>
      <c r="AA86" s="42"/>
      <c r="AB86" s="24"/>
      <c r="AC86" s="175">
        <v>14</v>
      </c>
    </row>
    <row r="87" spans="1:29" ht="13.5" thickBot="1">
      <c r="A87" s="205">
        <v>53</v>
      </c>
      <c r="B87" s="19">
        <v>1995</v>
      </c>
      <c r="C87" s="19" t="s">
        <v>16</v>
      </c>
      <c r="D87" s="27" t="s">
        <v>39</v>
      </c>
      <c r="E87" s="20">
        <v>45</v>
      </c>
      <c r="F87" s="20" t="s">
        <v>7</v>
      </c>
      <c r="G87" s="20">
        <v>8</v>
      </c>
      <c r="H87" s="20">
        <v>5</v>
      </c>
      <c r="I87" s="20">
        <v>1</v>
      </c>
      <c r="J87" s="20">
        <v>1</v>
      </c>
      <c r="K87" s="20"/>
      <c r="L87" s="21">
        <v>15</v>
      </c>
      <c r="M87" s="19">
        <v>43</v>
      </c>
      <c r="N87" s="120">
        <v>2042.3</v>
      </c>
      <c r="O87" s="120">
        <f>872.5-Q87+5.9+4.9</f>
        <v>883.3</v>
      </c>
      <c r="P87" s="206">
        <f>516-R87-2.5-0.1</f>
        <v>513.4</v>
      </c>
      <c r="Q87" s="24">
        <f>52.8-52.8</f>
        <v>0</v>
      </c>
      <c r="R87" s="22">
        <f>30.6-30.6</f>
        <v>0</v>
      </c>
      <c r="S87" s="22"/>
      <c r="T87" s="22"/>
      <c r="U87" s="53">
        <v>1051.6</v>
      </c>
      <c r="V87" s="22">
        <v>104.5</v>
      </c>
      <c r="W87" s="22">
        <v>20.2</v>
      </c>
      <c r="X87" s="22">
        <f t="shared" si="19"/>
        <v>135.85</v>
      </c>
      <c r="Y87" s="58">
        <f t="shared" si="20"/>
        <v>101.71</v>
      </c>
      <c r="Z87" s="58">
        <f t="shared" si="21"/>
        <v>54.33999999999999</v>
      </c>
      <c r="AA87" s="47"/>
      <c r="AB87" s="25">
        <v>55.2</v>
      </c>
      <c r="AC87" s="175">
        <v>15</v>
      </c>
    </row>
    <row r="88" spans="1:28" ht="13.5" thickBot="1">
      <c r="A88" s="215"/>
      <c r="B88" s="155"/>
      <c r="C88" s="155"/>
      <c r="D88" s="156"/>
      <c r="E88" s="157"/>
      <c r="F88" s="157"/>
      <c r="G88" s="157"/>
      <c r="H88" s="157"/>
      <c r="I88" s="158">
        <f>SUM(I82:I87)</f>
        <v>6</v>
      </c>
      <c r="J88" s="158">
        <f aca="true" t="shared" si="22" ref="J88:AB88">SUM(J82:J87)</f>
        <v>15</v>
      </c>
      <c r="K88" s="158">
        <f t="shared" si="22"/>
        <v>0</v>
      </c>
      <c r="L88" s="158">
        <f>SUM(L82:L87)</f>
        <v>189</v>
      </c>
      <c r="M88" s="158">
        <f>SUM(M82:M87)</f>
        <v>523</v>
      </c>
      <c r="N88" s="158">
        <f>SUM(N82:N87)</f>
        <v>13803.689999999999</v>
      </c>
      <c r="O88" s="158">
        <f>SUM(O82:O87)</f>
        <v>10046.499999999998</v>
      </c>
      <c r="P88" s="242">
        <f>SUM(P82:P87)</f>
        <v>5593</v>
      </c>
      <c r="Q88" s="212">
        <f t="shared" si="22"/>
        <v>0</v>
      </c>
      <c r="R88" s="20">
        <f t="shared" si="22"/>
        <v>0</v>
      </c>
      <c r="S88" s="20">
        <f t="shared" si="22"/>
        <v>53.10000000000001</v>
      </c>
      <c r="T88" s="20">
        <f t="shared" si="22"/>
        <v>30.700000000000003</v>
      </c>
      <c r="U88" s="20">
        <f t="shared" si="22"/>
        <v>2681.7</v>
      </c>
      <c r="V88" s="20">
        <f t="shared" si="22"/>
        <v>1106.2</v>
      </c>
      <c r="W88" s="20">
        <f t="shared" si="22"/>
        <v>281.5</v>
      </c>
      <c r="X88" s="20">
        <f t="shared" si="22"/>
        <v>1438.06</v>
      </c>
      <c r="Y88" s="59">
        <f>SUM(Y82:Y87)</f>
        <v>1144.336</v>
      </c>
      <c r="Z88" s="59">
        <f>SUM(Z82:Z87)</f>
        <v>575.2240000000002</v>
      </c>
      <c r="AA88" s="55">
        <f t="shared" si="22"/>
        <v>0</v>
      </c>
      <c r="AB88" s="55">
        <f t="shared" si="22"/>
        <v>106.2</v>
      </c>
    </row>
    <row r="89" spans="1:28" ht="12.75">
      <c r="A89" s="205"/>
      <c r="B89" s="19"/>
      <c r="C89" s="19"/>
      <c r="D89" s="20" t="s">
        <v>48</v>
      </c>
      <c r="E89" s="21"/>
      <c r="F89" s="21"/>
      <c r="G89" s="21"/>
      <c r="H89" s="21"/>
      <c r="I89" s="21"/>
      <c r="J89" s="21"/>
      <c r="K89" s="21"/>
      <c r="L89" s="22"/>
      <c r="M89" s="154"/>
      <c r="N89" s="120"/>
      <c r="O89" s="120"/>
      <c r="P89" s="206"/>
      <c r="Q89" s="24"/>
      <c r="R89" s="22"/>
      <c r="S89" s="22"/>
      <c r="T89" s="22"/>
      <c r="U89" s="22"/>
      <c r="V89" s="22"/>
      <c r="W89" s="22"/>
      <c r="X89" s="22"/>
      <c r="Y89" s="22"/>
      <c r="Z89" s="22"/>
      <c r="AA89" s="41"/>
      <c r="AB89" s="23"/>
    </row>
    <row r="90" spans="1:29" ht="12.75">
      <c r="A90" s="205">
        <v>54</v>
      </c>
      <c r="B90" s="19">
        <v>1982</v>
      </c>
      <c r="C90" s="19" t="s">
        <v>16</v>
      </c>
      <c r="D90" s="27" t="s">
        <v>39</v>
      </c>
      <c r="E90" s="20" t="s">
        <v>186</v>
      </c>
      <c r="F90" s="20" t="s">
        <v>151</v>
      </c>
      <c r="G90" s="20">
        <v>12</v>
      </c>
      <c r="H90" s="21">
        <v>2</v>
      </c>
      <c r="I90" s="21">
        <v>1</v>
      </c>
      <c r="J90" s="21">
        <v>1</v>
      </c>
      <c r="K90" s="21"/>
      <c r="L90" s="21">
        <v>6</v>
      </c>
      <c r="M90" s="19">
        <v>25</v>
      </c>
      <c r="N90" s="120">
        <f>O90+Q90+S90+U90+V90+W90</f>
        <v>445.19999999999993</v>
      </c>
      <c r="O90" s="120">
        <f>387.2+2.2</f>
        <v>389.4</v>
      </c>
      <c r="P90" s="206">
        <f>226.7-1.1</f>
        <v>225.6</v>
      </c>
      <c r="Q90" s="24"/>
      <c r="R90" s="22"/>
      <c r="S90" s="21"/>
      <c r="T90" s="22"/>
      <c r="U90" s="22"/>
      <c r="V90" s="22">
        <v>42.4</v>
      </c>
      <c r="W90" s="22">
        <v>13.4</v>
      </c>
      <c r="X90" s="22">
        <f>V90*1.3</f>
        <v>55.12</v>
      </c>
      <c r="Y90" s="22">
        <f>W90+X90</f>
        <v>68.52</v>
      </c>
      <c r="Z90" s="22"/>
      <c r="AA90" s="42"/>
      <c r="AB90" s="24">
        <f>46.8+11.1</f>
        <v>57.9</v>
      </c>
      <c r="AC90" s="175">
        <v>16</v>
      </c>
    </row>
    <row r="91" spans="1:29" ht="12.75">
      <c r="A91" s="205">
        <v>55</v>
      </c>
      <c r="B91" s="19">
        <v>1985</v>
      </c>
      <c r="C91" s="19" t="s">
        <v>16</v>
      </c>
      <c r="D91" s="27" t="s">
        <v>28</v>
      </c>
      <c r="E91" s="20">
        <v>85</v>
      </c>
      <c r="F91" s="20" t="s">
        <v>7</v>
      </c>
      <c r="G91" s="20">
        <v>7</v>
      </c>
      <c r="H91" s="20">
        <v>5</v>
      </c>
      <c r="I91" s="21">
        <v>1</v>
      </c>
      <c r="J91" s="19">
        <v>4</v>
      </c>
      <c r="K91" s="19"/>
      <c r="L91" s="21">
        <v>51</v>
      </c>
      <c r="M91" s="19">
        <v>161</v>
      </c>
      <c r="N91" s="120">
        <v>3910.3</v>
      </c>
      <c r="O91" s="120">
        <v>3122</v>
      </c>
      <c r="P91" s="206">
        <f>1795.3+4.5+3.8</f>
        <v>1803.6</v>
      </c>
      <c r="Q91" s="24"/>
      <c r="R91" s="22"/>
      <c r="S91" s="21">
        <v>87.5</v>
      </c>
      <c r="T91" s="22">
        <v>63.4</v>
      </c>
      <c r="U91" s="22">
        <v>240.6</v>
      </c>
      <c r="V91" s="22">
        <v>287.6</v>
      </c>
      <c r="W91" s="22">
        <v>127.1</v>
      </c>
      <c r="X91" s="22">
        <f aca="true" t="shared" si="23" ref="X91:X117">V91*1.3</f>
        <v>373.88000000000005</v>
      </c>
      <c r="Y91" s="58">
        <f>X91/H91*3+W91</f>
        <v>351.428</v>
      </c>
      <c r="Z91" s="58">
        <f aca="true" t="shared" si="24" ref="Z91:Z114">W91+X91-Y91</f>
        <v>149.55200000000002</v>
      </c>
      <c r="AA91" s="42"/>
      <c r="AB91" s="24">
        <v>66.5</v>
      </c>
      <c r="AC91" s="175">
        <v>18</v>
      </c>
    </row>
    <row r="92" spans="1:29" ht="12.75">
      <c r="A92" s="205">
        <v>56</v>
      </c>
      <c r="B92" s="19">
        <v>1987</v>
      </c>
      <c r="C92" s="19" t="s">
        <v>16</v>
      </c>
      <c r="D92" s="27" t="s">
        <v>28</v>
      </c>
      <c r="E92" s="20" t="s">
        <v>50</v>
      </c>
      <c r="F92" s="20" t="s">
        <v>7</v>
      </c>
      <c r="G92" s="20">
        <v>7</v>
      </c>
      <c r="H92" s="20">
        <v>5</v>
      </c>
      <c r="I92" s="21">
        <v>1</v>
      </c>
      <c r="J92" s="19">
        <v>4</v>
      </c>
      <c r="K92" s="19"/>
      <c r="L92" s="21">
        <v>52</v>
      </c>
      <c r="M92" s="19">
        <v>137</v>
      </c>
      <c r="N92" s="120">
        <v>4078</v>
      </c>
      <c r="O92" s="120">
        <v>3158.8</v>
      </c>
      <c r="P92" s="206">
        <f>1782.8-R92-0.1+3.3</f>
        <v>1786</v>
      </c>
      <c r="Q92" s="213"/>
      <c r="R92" s="22"/>
      <c r="S92" s="21"/>
      <c r="T92" s="22"/>
      <c r="U92" s="22">
        <v>327.7</v>
      </c>
      <c r="V92" s="22">
        <v>314</v>
      </c>
      <c r="W92" s="22">
        <v>120.8</v>
      </c>
      <c r="X92" s="22">
        <f t="shared" si="23"/>
        <v>408.2</v>
      </c>
      <c r="Y92" s="58">
        <f>X92/H92*3+W92</f>
        <v>365.72</v>
      </c>
      <c r="Z92" s="58">
        <f t="shared" si="24"/>
        <v>163.27999999999997</v>
      </c>
      <c r="AA92" s="113"/>
      <c r="AB92" s="61">
        <v>56</v>
      </c>
      <c r="AC92" s="175">
        <v>21</v>
      </c>
    </row>
    <row r="93" spans="1:29" ht="12.75">
      <c r="A93" s="205">
        <v>57</v>
      </c>
      <c r="B93" s="19">
        <v>1988</v>
      </c>
      <c r="C93" s="19" t="s">
        <v>189</v>
      </c>
      <c r="D93" s="27" t="s">
        <v>39</v>
      </c>
      <c r="E93" s="20">
        <v>18</v>
      </c>
      <c r="F93" s="21" t="s">
        <v>7</v>
      </c>
      <c r="G93" s="20">
        <v>11</v>
      </c>
      <c r="H93" s="21">
        <v>2</v>
      </c>
      <c r="I93" s="20">
        <v>1</v>
      </c>
      <c r="J93" s="21">
        <v>2</v>
      </c>
      <c r="K93" s="21"/>
      <c r="L93" s="19">
        <v>24</v>
      </c>
      <c r="M93" s="19">
        <v>53</v>
      </c>
      <c r="N93" s="120">
        <v>1350.87</v>
      </c>
      <c r="O93" s="120">
        <v>1096.1</v>
      </c>
      <c r="P93" s="207">
        <f>590.6-0.9</f>
        <v>589.7</v>
      </c>
      <c r="Q93" s="24"/>
      <c r="R93" s="22"/>
      <c r="S93" s="22"/>
      <c r="T93" s="22"/>
      <c r="U93" s="22"/>
      <c r="V93" s="22">
        <v>66.8</v>
      </c>
      <c r="W93" s="22">
        <v>188.8</v>
      </c>
      <c r="X93" s="22">
        <f>V93*1.3</f>
        <v>86.84</v>
      </c>
      <c r="Y93" s="58">
        <v>275.64</v>
      </c>
      <c r="Z93" s="58">
        <f>W93+X93-Y93</f>
        <v>0</v>
      </c>
      <c r="AA93" s="90"/>
      <c r="AB93" s="89"/>
      <c r="AC93" s="175">
        <v>22</v>
      </c>
    </row>
    <row r="94" spans="1:29" ht="12.75">
      <c r="A94" s="205">
        <v>58</v>
      </c>
      <c r="B94" s="19">
        <v>1988</v>
      </c>
      <c r="C94" s="19" t="s">
        <v>16</v>
      </c>
      <c r="D94" s="27" t="s">
        <v>28</v>
      </c>
      <c r="E94" s="20" t="s">
        <v>51</v>
      </c>
      <c r="F94" s="20" t="s">
        <v>151</v>
      </c>
      <c r="G94" s="20">
        <v>6</v>
      </c>
      <c r="H94" s="20">
        <v>5</v>
      </c>
      <c r="I94" s="21">
        <v>1</v>
      </c>
      <c r="J94" s="20">
        <v>1</v>
      </c>
      <c r="K94" s="20"/>
      <c r="L94" s="21">
        <v>18</v>
      </c>
      <c r="M94" s="19">
        <v>34</v>
      </c>
      <c r="N94" s="120">
        <f>O94+Q94+S94+U94+V94+W94</f>
        <v>939.5</v>
      </c>
      <c r="O94" s="120">
        <f>838.4-1.8-2.2-2.1-0.7</f>
        <v>831.5999999999999</v>
      </c>
      <c r="P94" s="206">
        <f>446.3+1-1.6-1.5-0.3</f>
        <v>443.9</v>
      </c>
      <c r="Q94" s="24"/>
      <c r="R94" s="22"/>
      <c r="S94" s="21"/>
      <c r="T94" s="22"/>
      <c r="U94" s="22"/>
      <c r="V94" s="22">
        <v>105.7</v>
      </c>
      <c r="W94" s="22">
        <v>2.2</v>
      </c>
      <c r="X94" s="22">
        <f t="shared" si="23"/>
        <v>137.41</v>
      </c>
      <c r="Y94" s="58">
        <f aca="true" t="shared" si="25" ref="Y94:Y104">X94/H94*3+W94</f>
        <v>84.646</v>
      </c>
      <c r="Z94" s="58">
        <f t="shared" si="24"/>
        <v>54.963999999999984</v>
      </c>
      <c r="AA94" s="89"/>
      <c r="AB94" s="90">
        <v>15.2</v>
      </c>
      <c r="AC94" s="175">
        <v>23</v>
      </c>
    </row>
    <row r="95" spans="1:29" ht="12.75">
      <c r="A95" s="205">
        <v>59</v>
      </c>
      <c r="B95" s="19">
        <v>1987</v>
      </c>
      <c r="C95" s="19" t="s">
        <v>16</v>
      </c>
      <c r="D95" s="27" t="s">
        <v>28</v>
      </c>
      <c r="E95" s="20" t="s">
        <v>52</v>
      </c>
      <c r="F95" s="20" t="s">
        <v>151</v>
      </c>
      <c r="G95" s="20">
        <v>6</v>
      </c>
      <c r="H95" s="20">
        <v>5</v>
      </c>
      <c r="I95" s="21">
        <v>1</v>
      </c>
      <c r="J95" s="20">
        <v>1</v>
      </c>
      <c r="K95" s="20"/>
      <c r="L95" s="21">
        <v>18</v>
      </c>
      <c r="M95" s="19">
        <v>41</v>
      </c>
      <c r="N95" s="120">
        <f>O95+Q95+S95+U95+V95+W95</f>
        <v>924.9</v>
      </c>
      <c r="O95" s="120">
        <f>821.8+0.1</f>
        <v>821.9</v>
      </c>
      <c r="P95" s="206">
        <f>441.5+0</f>
        <v>441.5</v>
      </c>
      <c r="Q95" s="24"/>
      <c r="R95" s="22"/>
      <c r="S95" s="21"/>
      <c r="T95" s="22"/>
      <c r="U95" s="22"/>
      <c r="V95" s="22">
        <v>100.9</v>
      </c>
      <c r="W95" s="22">
        <v>2.1</v>
      </c>
      <c r="X95" s="22">
        <f t="shared" si="23"/>
        <v>131.17000000000002</v>
      </c>
      <c r="Y95" s="58">
        <f t="shared" si="25"/>
        <v>80.80199999999999</v>
      </c>
      <c r="Z95" s="58">
        <f t="shared" si="24"/>
        <v>52.46800000000002</v>
      </c>
      <c r="AA95" s="42"/>
      <c r="AB95" s="24">
        <v>15.2</v>
      </c>
      <c r="AC95" s="175">
        <v>24</v>
      </c>
    </row>
    <row r="96" spans="1:29" ht="12.75">
      <c r="A96" s="205">
        <v>60</v>
      </c>
      <c r="B96" s="19">
        <v>1988</v>
      </c>
      <c r="C96" s="19" t="s">
        <v>16</v>
      </c>
      <c r="D96" s="27" t="s">
        <v>28</v>
      </c>
      <c r="E96" s="20" t="s">
        <v>53</v>
      </c>
      <c r="F96" s="20" t="s">
        <v>151</v>
      </c>
      <c r="G96" s="20">
        <v>6</v>
      </c>
      <c r="H96" s="20">
        <v>5</v>
      </c>
      <c r="I96" s="21">
        <v>1</v>
      </c>
      <c r="J96" s="20">
        <v>1</v>
      </c>
      <c r="K96" s="20"/>
      <c r="L96" s="21">
        <v>18</v>
      </c>
      <c r="M96" s="19">
        <v>38</v>
      </c>
      <c r="N96" s="120">
        <f>O96+Q96+S96+U96+V96+W96</f>
        <v>936.1999999999999</v>
      </c>
      <c r="O96" s="120">
        <v>795.4</v>
      </c>
      <c r="P96" s="206">
        <v>427.5</v>
      </c>
      <c r="Q96" s="24">
        <v>38.4</v>
      </c>
      <c r="R96" s="22">
        <v>19.3</v>
      </c>
      <c r="S96" s="21"/>
      <c r="T96" s="22"/>
      <c r="U96" s="22"/>
      <c r="V96" s="22">
        <v>100.1</v>
      </c>
      <c r="W96" s="22">
        <v>2.3</v>
      </c>
      <c r="X96" s="22">
        <f t="shared" si="23"/>
        <v>130.13</v>
      </c>
      <c r="Y96" s="58">
        <f t="shared" si="25"/>
        <v>80.378</v>
      </c>
      <c r="Z96" s="58">
        <f t="shared" si="24"/>
        <v>52.05200000000001</v>
      </c>
      <c r="AA96" s="42"/>
      <c r="AB96" s="24">
        <v>15.2</v>
      </c>
      <c r="AC96" s="175">
        <v>25</v>
      </c>
    </row>
    <row r="97" spans="1:29" ht="12.75">
      <c r="A97" s="205">
        <v>61</v>
      </c>
      <c r="B97" s="19">
        <v>1986</v>
      </c>
      <c r="C97" s="19" t="s">
        <v>16</v>
      </c>
      <c r="D97" s="27" t="s">
        <v>28</v>
      </c>
      <c r="E97" s="20">
        <v>93</v>
      </c>
      <c r="F97" s="20" t="s">
        <v>7</v>
      </c>
      <c r="G97" s="20">
        <v>7</v>
      </c>
      <c r="H97" s="20">
        <v>5</v>
      </c>
      <c r="I97" s="21">
        <v>1</v>
      </c>
      <c r="J97" s="20">
        <v>1</v>
      </c>
      <c r="K97" s="20"/>
      <c r="L97" s="21">
        <v>16</v>
      </c>
      <c r="M97" s="19">
        <v>42</v>
      </c>
      <c r="N97" s="120">
        <v>1243.4</v>
      </c>
      <c r="O97" s="120">
        <v>903</v>
      </c>
      <c r="P97" s="206">
        <f>532.8-0.4-22.6</f>
        <v>509.79999999999995</v>
      </c>
      <c r="Q97" s="24"/>
      <c r="R97" s="22"/>
      <c r="S97" s="21"/>
      <c r="T97" s="22"/>
      <c r="U97" s="22">
        <v>203.1</v>
      </c>
      <c r="V97" s="22">
        <v>85.2</v>
      </c>
      <c r="W97" s="22">
        <v>61.3</v>
      </c>
      <c r="X97" s="22">
        <f t="shared" si="23"/>
        <v>110.76</v>
      </c>
      <c r="Y97" s="58">
        <f t="shared" si="25"/>
        <v>127.756</v>
      </c>
      <c r="Z97" s="58">
        <f t="shared" si="24"/>
        <v>44.304</v>
      </c>
      <c r="AA97" s="42"/>
      <c r="AB97" s="24">
        <v>20.8</v>
      </c>
      <c r="AC97" s="175">
        <v>26</v>
      </c>
    </row>
    <row r="98" spans="1:29" ht="12.75">
      <c r="A98" s="205">
        <v>62</v>
      </c>
      <c r="B98" s="19">
        <v>1986</v>
      </c>
      <c r="C98" s="19" t="s">
        <v>16</v>
      </c>
      <c r="D98" s="27" t="s">
        <v>28</v>
      </c>
      <c r="E98" s="20" t="s">
        <v>54</v>
      </c>
      <c r="F98" s="20" t="s">
        <v>7</v>
      </c>
      <c r="G98" s="20">
        <v>7</v>
      </c>
      <c r="H98" s="20">
        <v>5</v>
      </c>
      <c r="I98" s="21">
        <v>1</v>
      </c>
      <c r="J98" s="20">
        <v>4</v>
      </c>
      <c r="K98" s="20"/>
      <c r="L98" s="21">
        <v>54</v>
      </c>
      <c r="M98" s="19">
        <v>157</v>
      </c>
      <c r="N98" s="120">
        <v>3944.5</v>
      </c>
      <c r="O98" s="120">
        <v>3433.3</v>
      </c>
      <c r="P98" s="206">
        <f>2008.6-1.7-1.6</f>
        <v>2005.3</v>
      </c>
      <c r="Q98" s="24"/>
      <c r="R98" s="22"/>
      <c r="S98" s="21"/>
      <c r="T98" s="22"/>
      <c r="U98" s="22"/>
      <c r="V98" s="22">
        <v>308.1</v>
      </c>
      <c r="W98" s="22">
        <v>115.9</v>
      </c>
      <c r="X98" s="22">
        <f t="shared" si="23"/>
        <v>400.53000000000003</v>
      </c>
      <c r="Y98" s="58">
        <f t="shared" si="25"/>
        <v>356.2180000000001</v>
      </c>
      <c r="Z98" s="58">
        <f t="shared" si="24"/>
        <v>160.212</v>
      </c>
      <c r="AA98" s="42"/>
      <c r="AB98" s="24">
        <v>66.5</v>
      </c>
      <c r="AC98" s="175">
        <v>27</v>
      </c>
    </row>
    <row r="99" spans="1:29" ht="12.75">
      <c r="A99" s="205">
        <v>63</v>
      </c>
      <c r="B99" s="19">
        <v>1986</v>
      </c>
      <c r="C99" s="19" t="s">
        <v>16</v>
      </c>
      <c r="D99" s="27" t="s">
        <v>28</v>
      </c>
      <c r="E99" s="20" t="s">
        <v>55</v>
      </c>
      <c r="F99" s="20" t="s">
        <v>7</v>
      </c>
      <c r="G99" s="20">
        <v>7</v>
      </c>
      <c r="H99" s="20">
        <v>5</v>
      </c>
      <c r="I99" s="21">
        <v>1</v>
      </c>
      <c r="J99" s="20">
        <v>4</v>
      </c>
      <c r="K99" s="20"/>
      <c r="L99" s="21">
        <v>53</v>
      </c>
      <c r="M99" s="19">
        <v>138</v>
      </c>
      <c r="N99" s="120">
        <v>3756.8</v>
      </c>
      <c r="O99" s="120">
        <v>3301.7</v>
      </c>
      <c r="P99" s="206">
        <f>1883.5-0.6+1.4-3-11.3-0.3</f>
        <v>1869.7000000000003</v>
      </c>
      <c r="Q99" s="24">
        <v>52.7</v>
      </c>
      <c r="R99" s="22">
        <v>11.3</v>
      </c>
      <c r="S99" s="21"/>
      <c r="T99" s="22"/>
      <c r="U99" s="22">
        <v>163.4</v>
      </c>
      <c r="V99" s="22">
        <v>124.4</v>
      </c>
      <c r="W99" s="22">
        <v>115.8</v>
      </c>
      <c r="X99" s="22">
        <f t="shared" si="23"/>
        <v>161.72</v>
      </c>
      <c r="Y99" s="58">
        <f t="shared" si="25"/>
        <v>212.832</v>
      </c>
      <c r="Z99" s="58">
        <f t="shared" si="24"/>
        <v>64.68799999999999</v>
      </c>
      <c r="AA99" s="89"/>
      <c r="AB99" s="90">
        <v>56</v>
      </c>
      <c r="AC99" s="175">
        <v>28</v>
      </c>
    </row>
    <row r="100" spans="1:29" ht="12.75">
      <c r="A100" s="205">
        <v>64</v>
      </c>
      <c r="B100" s="19">
        <v>1987</v>
      </c>
      <c r="C100" s="19" t="s">
        <v>16</v>
      </c>
      <c r="D100" s="27" t="s">
        <v>28</v>
      </c>
      <c r="E100" s="20" t="s">
        <v>56</v>
      </c>
      <c r="F100" s="20" t="s">
        <v>7</v>
      </c>
      <c r="G100" s="20">
        <v>7</v>
      </c>
      <c r="H100" s="20">
        <v>5</v>
      </c>
      <c r="I100" s="21">
        <v>1</v>
      </c>
      <c r="J100" s="20">
        <v>4</v>
      </c>
      <c r="K100" s="20"/>
      <c r="L100" s="21">
        <v>56</v>
      </c>
      <c r="M100" s="19">
        <v>158</v>
      </c>
      <c r="N100" s="120">
        <v>3923.7</v>
      </c>
      <c r="O100" s="120">
        <v>3452.7</v>
      </c>
      <c r="P100" s="206">
        <f>1957+0.7+1.2</f>
        <v>1958.9</v>
      </c>
      <c r="Q100" s="24"/>
      <c r="R100" s="22"/>
      <c r="S100" s="21"/>
      <c r="T100" s="22"/>
      <c r="U100" s="22"/>
      <c r="V100" s="22">
        <v>327</v>
      </c>
      <c r="W100" s="22">
        <v>144</v>
      </c>
      <c r="X100" s="22">
        <f t="shared" si="23"/>
        <v>425.1</v>
      </c>
      <c r="Y100" s="58">
        <f t="shared" si="25"/>
        <v>399.06000000000006</v>
      </c>
      <c r="Z100" s="58">
        <f t="shared" si="24"/>
        <v>170.03999999999996</v>
      </c>
      <c r="AA100" s="42"/>
      <c r="AB100" s="24">
        <v>66.5</v>
      </c>
      <c r="AC100" s="175">
        <v>29</v>
      </c>
    </row>
    <row r="101" spans="1:29" ht="12.75">
      <c r="A101" s="205">
        <v>65</v>
      </c>
      <c r="B101" s="19">
        <v>1989</v>
      </c>
      <c r="C101" s="19" t="s">
        <v>16</v>
      </c>
      <c r="D101" s="27" t="s">
        <v>57</v>
      </c>
      <c r="E101" s="20">
        <v>45</v>
      </c>
      <c r="F101" s="20" t="s">
        <v>151</v>
      </c>
      <c r="G101" s="20">
        <v>6</v>
      </c>
      <c r="H101" s="20">
        <v>5</v>
      </c>
      <c r="I101" s="21">
        <v>1</v>
      </c>
      <c r="J101" s="20">
        <v>1</v>
      </c>
      <c r="K101" s="20"/>
      <c r="L101" s="21">
        <v>18</v>
      </c>
      <c r="M101" s="19">
        <v>44</v>
      </c>
      <c r="N101" s="120">
        <v>928.8</v>
      </c>
      <c r="O101" s="120">
        <v>825.8</v>
      </c>
      <c r="P101" s="206">
        <f>441.6-0.9</f>
        <v>440.70000000000005</v>
      </c>
      <c r="Q101" s="24"/>
      <c r="R101" s="22"/>
      <c r="S101" s="21"/>
      <c r="T101" s="22"/>
      <c r="U101" s="22"/>
      <c r="V101" s="22">
        <v>100.9</v>
      </c>
      <c r="W101" s="22">
        <v>2.1</v>
      </c>
      <c r="X101" s="22">
        <f t="shared" si="23"/>
        <v>131.17000000000002</v>
      </c>
      <c r="Y101" s="58">
        <f t="shared" si="25"/>
        <v>80.80199999999999</v>
      </c>
      <c r="Z101" s="58">
        <f t="shared" si="24"/>
        <v>52.46800000000002</v>
      </c>
      <c r="AA101" s="42"/>
      <c r="AB101" s="24">
        <v>25.65</v>
      </c>
      <c r="AC101" s="175">
        <v>33</v>
      </c>
    </row>
    <row r="102" spans="1:29" ht="12.75">
      <c r="A102" s="205">
        <v>66</v>
      </c>
      <c r="B102" s="19">
        <v>1987</v>
      </c>
      <c r="C102" s="19" t="s">
        <v>16</v>
      </c>
      <c r="D102" s="27" t="s">
        <v>57</v>
      </c>
      <c r="E102" s="20">
        <v>47</v>
      </c>
      <c r="F102" s="20" t="s">
        <v>151</v>
      </c>
      <c r="G102" s="20">
        <v>6</v>
      </c>
      <c r="H102" s="20">
        <v>5</v>
      </c>
      <c r="I102" s="21">
        <v>1</v>
      </c>
      <c r="J102" s="20">
        <v>1</v>
      </c>
      <c r="K102" s="20"/>
      <c r="L102" s="21">
        <v>18</v>
      </c>
      <c r="M102" s="19">
        <v>51</v>
      </c>
      <c r="N102" s="120">
        <v>916.1</v>
      </c>
      <c r="O102" s="120">
        <v>812.1</v>
      </c>
      <c r="P102" s="206">
        <f>450.3+0.8</f>
        <v>451.1</v>
      </c>
      <c r="Q102" s="24"/>
      <c r="R102" s="22"/>
      <c r="S102" s="21"/>
      <c r="T102" s="22"/>
      <c r="U102" s="22"/>
      <c r="V102" s="22">
        <v>101.7</v>
      </c>
      <c r="W102" s="22">
        <v>5.1</v>
      </c>
      <c r="X102" s="22">
        <f t="shared" si="23"/>
        <v>132.21</v>
      </c>
      <c r="Y102" s="58">
        <f t="shared" si="25"/>
        <v>84.42599999999999</v>
      </c>
      <c r="Z102" s="58">
        <f t="shared" si="24"/>
        <v>52.884000000000015</v>
      </c>
      <c r="AA102" s="42"/>
      <c r="AB102" s="24">
        <v>25.65</v>
      </c>
      <c r="AC102" s="175">
        <v>34</v>
      </c>
    </row>
    <row r="103" spans="1:29" ht="12.75">
      <c r="A103" s="205">
        <v>67</v>
      </c>
      <c r="B103" s="19">
        <v>1984</v>
      </c>
      <c r="C103" s="19" t="s">
        <v>16</v>
      </c>
      <c r="D103" s="27" t="s">
        <v>57</v>
      </c>
      <c r="E103" s="20">
        <v>49</v>
      </c>
      <c r="F103" s="20" t="s">
        <v>7</v>
      </c>
      <c r="G103" s="20">
        <v>7</v>
      </c>
      <c r="H103" s="20">
        <v>5</v>
      </c>
      <c r="I103" s="21">
        <v>1</v>
      </c>
      <c r="J103" s="20">
        <v>4</v>
      </c>
      <c r="K103" s="20"/>
      <c r="L103" s="21">
        <v>54</v>
      </c>
      <c r="M103" s="19">
        <v>167</v>
      </c>
      <c r="N103" s="120">
        <v>3930.2</v>
      </c>
      <c r="O103" s="120">
        <v>3350.4</v>
      </c>
      <c r="P103" s="206">
        <f>1889.3+0.2-0.2</f>
        <v>1889.3</v>
      </c>
      <c r="Q103" s="24"/>
      <c r="R103" s="22"/>
      <c r="S103" s="21"/>
      <c r="T103" s="22"/>
      <c r="U103" s="22">
        <v>167.7</v>
      </c>
      <c r="V103" s="22">
        <v>284</v>
      </c>
      <c r="W103" s="22">
        <v>132.1</v>
      </c>
      <c r="X103" s="22">
        <f t="shared" si="23"/>
        <v>369.2</v>
      </c>
      <c r="Y103" s="58">
        <f t="shared" si="25"/>
        <v>353.62</v>
      </c>
      <c r="Z103" s="58">
        <f t="shared" si="24"/>
        <v>147.67999999999995</v>
      </c>
      <c r="AA103" s="89"/>
      <c r="AB103" s="90">
        <v>57.05</v>
      </c>
      <c r="AC103" s="175">
        <v>35</v>
      </c>
    </row>
    <row r="104" spans="1:29" ht="12.75">
      <c r="A104" s="205">
        <v>68</v>
      </c>
      <c r="B104" s="19">
        <v>1988</v>
      </c>
      <c r="C104" s="19" t="s">
        <v>16</v>
      </c>
      <c r="D104" s="27" t="s">
        <v>39</v>
      </c>
      <c r="E104" s="20" t="s">
        <v>143</v>
      </c>
      <c r="F104" s="20" t="s">
        <v>7</v>
      </c>
      <c r="G104" s="20">
        <v>10</v>
      </c>
      <c r="H104" s="20">
        <v>3</v>
      </c>
      <c r="I104" s="21">
        <v>1</v>
      </c>
      <c r="J104" s="20">
        <v>3</v>
      </c>
      <c r="K104" s="20"/>
      <c r="L104" s="21">
        <v>36</v>
      </c>
      <c r="M104" s="19">
        <v>106</v>
      </c>
      <c r="N104" s="120">
        <v>2342.4</v>
      </c>
      <c r="O104" s="120">
        <v>1937</v>
      </c>
      <c r="P104" s="206">
        <f>1114.6-0.1</f>
        <v>1114.5</v>
      </c>
      <c r="Q104" s="24"/>
      <c r="R104" s="22"/>
      <c r="S104" s="21"/>
      <c r="T104" s="22"/>
      <c r="U104" s="22"/>
      <c r="V104" s="22">
        <v>116.4</v>
      </c>
      <c r="W104" s="22">
        <v>78.5</v>
      </c>
      <c r="X104" s="22">
        <f t="shared" si="23"/>
        <v>151.32000000000002</v>
      </c>
      <c r="Y104" s="58">
        <f t="shared" si="25"/>
        <v>229.82000000000002</v>
      </c>
      <c r="Z104" s="58">
        <f t="shared" si="24"/>
        <v>0</v>
      </c>
      <c r="AA104" s="96">
        <v>25.4</v>
      </c>
      <c r="AB104" s="95"/>
      <c r="AC104" s="175">
        <v>37</v>
      </c>
    </row>
    <row r="105" spans="1:29" ht="12.75">
      <c r="A105" s="205">
        <v>69</v>
      </c>
      <c r="B105" s="19">
        <v>1993</v>
      </c>
      <c r="C105" s="19" t="s">
        <v>16</v>
      </c>
      <c r="D105" s="27" t="s">
        <v>57</v>
      </c>
      <c r="E105" s="20">
        <v>11</v>
      </c>
      <c r="F105" s="20" t="s">
        <v>7</v>
      </c>
      <c r="G105" s="20">
        <v>8</v>
      </c>
      <c r="H105" s="20">
        <v>5</v>
      </c>
      <c r="I105" s="21">
        <v>1</v>
      </c>
      <c r="J105" s="20">
        <v>4</v>
      </c>
      <c r="K105" s="20"/>
      <c r="L105" s="21">
        <v>60</v>
      </c>
      <c r="M105" s="19">
        <v>171</v>
      </c>
      <c r="N105" s="120">
        <f>O105+Q105+S105+U105+V105+W105</f>
        <v>3314.0999999999995</v>
      </c>
      <c r="O105" s="120">
        <f>2991.2-0.5-0.3-0.4-1.1-0.9-0.9</f>
        <v>2987.0999999999995</v>
      </c>
      <c r="P105" s="206">
        <f>1713.3-0.4-0.1-0.1-0.4-0.2-0.6</f>
        <v>1711.5</v>
      </c>
      <c r="Q105" s="24"/>
      <c r="R105" s="22"/>
      <c r="S105" s="21"/>
      <c r="T105" s="22"/>
      <c r="U105" s="22"/>
      <c r="V105" s="22">
        <v>282.1</v>
      </c>
      <c r="W105" s="22">
        <v>44.9</v>
      </c>
      <c r="X105" s="22">
        <f t="shared" si="23"/>
        <v>366.73</v>
      </c>
      <c r="Y105" s="58">
        <f>W105+X105</f>
        <v>411.63</v>
      </c>
      <c r="Z105" s="58">
        <f t="shared" si="24"/>
        <v>0</v>
      </c>
      <c r="AA105" s="89">
        <v>59</v>
      </c>
      <c r="AB105" s="90"/>
      <c r="AC105" s="175">
        <v>38</v>
      </c>
    </row>
    <row r="106" spans="1:29" ht="12.75">
      <c r="A106" s="205">
        <v>70</v>
      </c>
      <c r="B106" s="19">
        <v>1994</v>
      </c>
      <c r="C106" s="19" t="s">
        <v>16</v>
      </c>
      <c r="D106" s="27" t="s">
        <v>57</v>
      </c>
      <c r="E106" s="20" t="s">
        <v>114</v>
      </c>
      <c r="F106" s="20" t="s">
        <v>7</v>
      </c>
      <c r="G106" s="20">
        <v>8</v>
      </c>
      <c r="H106" s="20">
        <v>5</v>
      </c>
      <c r="I106" s="21">
        <v>1</v>
      </c>
      <c r="J106" s="20">
        <v>4</v>
      </c>
      <c r="K106" s="20"/>
      <c r="L106" s="21">
        <v>45</v>
      </c>
      <c r="M106" s="19">
        <v>112</v>
      </c>
      <c r="N106" s="120">
        <v>2504.6</v>
      </c>
      <c r="O106" s="120">
        <v>2255.6</v>
      </c>
      <c r="P106" s="206">
        <f>1307.6-0.6-0.1+0.8-0.6</f>
        <v>1307.1000000000001</v>
      </c>
      <c r="Q106" s="24"/>
      <c r="R106" s="22"/>
      <c r="S106" s="21"/>
      <c r="T106" s="22"/>
      <c r="U106" s="22"/>
      <c r="V106" s="22">
        <v>214.9</v>
      </c>
      <c r="W106" s="22">
        <v>34.1</v>
      </c>
      <c r="X106" s="22">
        <f t="shared" si="23"/>
        <v>279.37</v>
      </c>
      <c r="Y106" s="58">
        <f>W106+X106</f>
        <v>313.47</v>
      </c>
      <c r="Z106" s="58">
        <f t="shared" si="24"/>
        <v>0</v>
      </c>
      <c r="AA106" s="42">
        <v>44.3</v>
      </c>
      <c r="AB106" s="24"/>
      <c r="AC106" s="175">
        <v>39</v>
      </c>
    </row>
    <row r="107" spans="1:29" ht="12.75">
      <c r="A107" s="205">
        <v>71</v>
      </c>
      <c r="B107" s="19">
        <v>1988</v>
      </c>
      <c r="C107" s="19" t="s">
        <v>16</v>
      </c>
      <c r="D107" s="27" t="s">
        <v>57</v>
      </c>
      <c r="E107" s="20">
        <v>19</v>
      </c>
      <c r="F107" s="20" t="s">
        <v>7</v>
      </c>
      <c r="G107" s="20">
        <v>10</v>
      </c>
      <c r="H107" s="20">
        <v>3</v>
      </c>
      <c r="I107" s="21">
        <v>1</v>
      </c>
      <c r="J107" s="20">
        <v>2</v>
      </c>
      <c r="K107" s="20"/>
      <c r="L107" s="21">
        <v>20</v>
      </c>
      <c r="M107" s="19">
        <v>50</v>
      </c>
      <c r="N107" s="120">
        <v>1717</v>
      </c>
      <c r="O107" s="120">
        <v>1147</v>
      </c>
      <c r="P107" s="206">
        <f>698-1.5</f>
        <v>696.5</v>
      </c>
      <c r="Q107" s="24"/>
      <c r="R107" s="22"/>
      <c r="S107" s="21"/>
      <c r="T107" s="22"/>
      <c r="U107" s="22"/>
      <c r="V107" s="22">
        <v>64.5</v>
      </c>
      <c r="W107" s="22">
        <v>121.6</v>
      </c>
      <c r="X107" s="22">
        <f t="shared" si="23"/>
        <v>83.85000000000001</v>
      </c>
      <c r="Y107" s="58">
        <f>W107+X107</f>
        <v>205.45</v>
      </c>
      <c r="Z107" s="58">
        <f t="shared" si="24"/>
        <v>0</v>
      </c>
      <c r="AA107" s="113">
        <v>38.7</v>
      </c>
      <c r="AB107" s="61"/>
      <c r="AC107" s="175">
        <v>40</v>
      </c>
    </row>
    <row r="108" spans="1:29" ht="12.75">
      <c r="A108" s="205">
        <v>72</v>
      </c>
      <c r="B108" s="19">
        <v>1997</v>
      </c>
      <c r="C108" s="19" t="s">
        <v>16</v>
      </c>
      <c r="D108" s="27" t="s">
        <v>57</v>
      </c>
      <c r="E108" s="20" t="s">
        <v>119</v>
      </c>
      <c r="F108" s="20" t="s">
        <v>151</v>
      </c>
      <c r="G108" s="20">
        <v>5</v>
      </c>
      <c r="H108" s="20">
        <v>5</v>
      </c>
      <c r="I108" s="21">
        <v>1</v>
      </c>
      <c r="J108" s="20">
        <v>3</v>
      </c>
      <c r="K108" s="20"/>
      <c r="L108" s="21">
        <v>28</v>
      </c>
      <c r="M108" s="19">
        <v>101</v>
      </c>
      <c r="N108" s="120">
        <v>2537.9</v>
      </c>
      <c r="O108" s="120">
        <v>1904.6</v>
      </c>
      <c r="P108" s="206">
        <f>1169.9+9.7</f>
        <v>1179.6000000000001</v>
      </c>
      <c r="Q108" s="24"/>
      <c r="R108" s="22"/>
      <c r="S108" s="21"/>
      <c r="T108" s="22"/>
      <c r="U108" s="154">
        <v>152.8</v>
      </c>
      <c r="V108" s="154">
        <v>259.1</v>
      </c>
      <c r="W108" s="154">
        <v>10.6</v>
      </c>
      <c r="X108" s="22">
        <f t="shared" si="23"/>
        <v>336.83000000000004</v>
      </c>
      <c r="Y108" s="58">
        <f>X108/H108*3+W108</f>
        <v>212.69800000000004</v>
      </c>
      <c r="Z108" s="58">
        <f t="shared" si="24"/>
        <v>134.73200000000003</v>
      </c>
      <c r="AA108" s="42"/>
      <c r="AB108" s="24"/>
      <c r="AC108" s="175">
        <v>41</v>
      </c>
    </row>
    <row r="109" spans="1:29" ht="12.75">
      <c r="A109" s="205">
        <v>73</v>
      </c>
      <c r="B109" s="19">
        <v>2002</v>
      </c>
      <c r="C109" s="19"/>
      <c r="D109" s="27" t="s">
        <v>57</v>
      </c>
      <c r="E109" s="20" t="s">
        <v>43</v>
      </c>
      <c r="F109" s="20" t="s">
        <v>151</v>
      </c>
      <c r="G109" s="20">
        <v>5</v>
      </c>
      <c r="H109" s="20">
        <v>5</v>
      </c>
      <c r="I109" s="21">
        <v>1</v>
      </c>
      <c r="J109" s="20">
        <v>3</v>
      </c>
      <c r="K109" s="20"/>
      <c r="L109" s="21">
        <v>27</v>
      </c>
      <c r="M109" s="19">
        <v>61</v>
      </c>
      <c r="N109" s="120">
        <v>2262.11</v>
      </c>
      <c r="O109" s="120">
        <v>1762.31</v>
      </c>
      <c r="P109" s="217">
        <f>1159.8-267.4+2.6+21.4+51.4+21.4</f>
        <v>989.1999999999999</v>
      </c>
      <c r="Q109" s="24">
        <f>429.5-49.1-95.2-47.7</f>
        <v>237.5</v>
      </c>
      <c r="R109" s="22">
        <f>267.4-21.4-51.4-21.4</f>
        <v>173.19999999999996</v>
      </c>
      <c r="S109" s="21"/>
      <c r="T109" s="22"/>
      <c r="U109" s="22"/>
      <c r="V109" s="22">
        <f>13.2+13.6+13.9+52.4+52.4+52.4+52.4</f>
        <v>250.3</v>
      </c>
      <c r="W109" s="22">
        <f>262.3-V109</f>
        <v>12</v>
      </c>
      <c r="X109" s="22">
        <f t="shared" si="23"/>
        <v>325.39000000000004</v>
      </c>
      <c r="Y109" s="58">
        <f>X109/H109*3</f>
        <v>195.234</v>
      </c>
      <c r="Z109" s="58">
        <f t="shared" si="24"/>
        <v>142.15600000000003</v>
      </c>
      <c r="AA109" s="42">
        <f>33.1+33.1+33.1+33.1+33.1</f>
        <v>165.5</v>
      </c>
      <c r="AB109" s="24"/>
      <c r="AC109" s="175">
        <v>42</v>
      </c>
    </row>
    <row r="110" spans="1:29" ht="12.75">
      <c r="A110" s="205">
        <v>74</v>
      </c>
      <c r="B110" s="19">
        <v>2001</v>
      </c>
      <c r="C110" s="19" t="s">
        <v>196</v>
      </c>
      <c r="D110" s="27" t="s">
        <v>57</v>
      </c>
      <c r="E110" s="20" t="s">
        <v>179</v>
      </c>
      <c r="F110" s="20" t="s">
        <v>7</v>
      </c>
      <c r="G110" s="20">
        <v>8</v>
      </c>
      <c r="H110" s="20">
        <v>5</v>
      </c>
      <c r="I110" s="21">
        <v>1</v>
      </c>
      <c r="J110" s="20">
        <v>4</v>
      </c>
      <c r="K110" s="20"/>
      <c r="L110" s="21">
        <v>40</v>
      </c>
      <c r="M110" s="19">
        <v>138</v>
      </c>
      <c r="N110" s="160">
        <v>3176.8</v>
      </c>
      <c r="O110" s="120">
        <v>2854.4</v>
      </c>
      <c r="P110" s="206">
        <v>1829.7</v>
      </c>
      <c r="Q110" s="24"/>
      <c r="R110" s="22"/>
      <c r="S110" s="21"/>
      <c r="T110" s="22"/>
      <c r="U110" s="22"/>
      <c r="V110" s="53">
        <v>278</v>
      </c>
      <c r="W110" s="22">
        <v>44.4</v>
      </c>
      <c r="X110" s="22">
        <f t="shared" si="23"/>
        <v>361.40000000000003</v>
      </c>
      <c r="Y110" s="58">
        <f>X110/H110*3</f>
        <v>216.84</v>
      </c>
      <c r="Z110" s="58">
        <f t="shared" si="24"/>
        <v>188.96</v>
      </c>
      <c r="AA110" s="42">
        <v>48.2</v>
      </c>
      <c r="AB110" s="24"/>
      <c r="AC110" s="175">
        <v>44</v>
      </c>
    </row>
    <row r="111" spans="1:29" ht="12.75">
      <c r="A111" s="205">
        <v>75</v>
      </c>
      <c r="B111" s="19">
        <v>1988</v>
      </c>
      <c r="C111" s="19" t="s">
        <v>16</v>
      </c>
      <c r="D111" s="27" t="s">
        <v>190</v>
      </c>
      <c r="E111" s="20" t="s">
        <v>198</v>
      </c>
      <c r="F111" s="20" t="s">
        <v>7</v>
      </c>
      <c r="G111" s="20">
        <v>10</v>
      </c>
      <c r="H111" s="20">
        <v>2</v>
      </c>
      <c r="I111" s="21">
        <v>1</v>
      </c>
      <c r="J111" s="20">
        <v>3</v>
      </c>
      <c r="K111" s="20"/>
      <c r="L111" s="21">
        <v>24</v>
      </c>
      <c r="M111" s="19">
        <v>44</v>
      </c>
      <c r="N111" s="120">
        <f>O111+Q111+S111+U111+V111+W111</f>
        <v>1011.7</v>
      </c>
      <c r="O111" s="120">
        <v>876.4</v>
      </c>
      <c r="P111" s="206">
        <v>440.2</v>
      </c>
      <c r="Q111" s="24"/>
      <c r="R111" s="22"/>
      <c r="S111" s="21"/>
      <c r="T111" s="22"/>
      <c r="U111" s="22"/>
      <c r="V111" s="22">
        <v>109.6</v>
      </c>
      <c r="W111" s="22">
        <v>25.7</v>
      </c>
      <c r="X111" s="22">
        <f t="shared" si="23"/>
        <v>142.48</v>
      </c>
      <c r="Y111" s="58">
        <f>W111+X111</f>
        <v>168.17999999999998</v>
      </c>
      <c r="Z111" s="58">
        <f t="shared" si="24"/>
        <v>0</v>
      </c>
      <c r="AA111" s="42">
        <v>88.8</v>
      </c>
      <c r="AB111" s="24"/>
      <c r="AC111" s="175">
        <v>45</v>
      </c>
    </row>
    <row r="112" spans="1:29" ht="12.75">
      <c r="A112" s="205">
        <v>76</v>
      </c>
      <c r="B112" s="19">
        <v>1989</v>
      </c>
      <c r="C112" s="19" t="s">
        <v>16</v>
      </c>
      <c r="D112" s="27" t="s">
        <v>190</v>
      </c>
      <c r="E112" s="20">
        <v>64</v>
      </c>
      <c r="F112" s="20" t="s">
        <v>7</v>
      </c>
      <c r="G112" s="20">
        <v>8</v>
      </c>
      <c r="H112" s="20">
        <v>5</v>
      </c>
      <c r="I112" s="21">
        <v>1</v>
      </c>
      <c r="J112" s="20">
        <v>4</v>
      </c>
      <c r="K112" s="20"/>
      <c r="L112" s="21">
        <v>60</v>
      </c>
      <c r="M112" s="19">
        <v>163</v>
      </c>
      <c r="N112" s="120">
        <v>3236.6</v>
      </c>
      <c r="O112" s="120">
        <v>2963</v>
      </c>
      <c r="P112" s="206">
        <f>1701+0+0.3-10.6-0.5</f>
        <v>1690.2</v>
      </c>
      <c r="Q112" s="24"/>
      <c r="R112" s="22"/>
      <c r="S112" s="21"/>
      <c r="T112" s="22"/>
      <c r="U112" s="22"/>
      <c r="V112" s="22">
        <v>280.6</v>
      </c>
      <c r="W112" s="22">
        <v>44</v>
      </c>
      <c r="X112" s="22">
        <f t="shared" si="23"/>
        <v>364.78000000000003</v>
      </c>
      <c r="Y112" s="58">
        <f>X112/H112*3+W112</f>
        <v>262.868</v>
      </c>
      <c r="Z112" s="58">
        <f t="shared" si="24"/>
        <v>145.91200000000003</v>
      </c>
      <c r="AA112" s="42">
        <v>64.7</v>
      </c>
      <c r="AB112" s="24"/>
      <c r="AC112" s="175">
        <v>46</v>
      </c>
    </row>
    <row r="113" spans="1:29" ht="12.75">
      <c r="A113" s="205">
        <v>77</v>
      </c>
      <c r="B113" s="19">
        <v>1988</v>
      </c>
      <c r="C113" s="19" t="s">
        <v>16</v>
      </c>
      <c r="D113" s="27" t="s">
        <v>190</v>
      </c>
      <c r="E113" s="20" t="s">
        <v>144</v>
      </c>
      <c r="F113" s="20" t="s">
        <v>7</v>
      </c>
      <c r="G113" s="20">
        <v>8</v>
      </c>
      <c r="H113" s="20">
        <v>5</v>
      </c>
      <c r="I113" s="21">
        <v>1</v>
      </c>
      <c r="J113" s="20">
        <v>4</v>
      </c>
      <c r="K113" s="20"/>
      <c r="L113" s="21">
        <v>60</v>
      </c>
      <c r="M113" s="19">
        <v>167</v>
      </c>
      <c r="N113" s="120">
        <v>3264</v>
      </c>
      <c r="O113" s="120">
        <v>2940</v>
      </c>
      <c r="P113" s="206">
        <f>1685+0</f>
        <v>1685</v>
      </c>
      <c r="Q113" s="24"/>
      <c r="R113" s="22"/>
      <c r="S113" s="21"/>
      <c r="T113" s="22"/>
      <c r="U113" s="22"/>
      <c r="V113" s="22">
        <v>279</v>
      </c>
      <c r="W113" s="22">
        <v>45</v>
      </c>
      <c r="X113" s="22">
        <f t="shared" si="23"/>
        <v>362.7</v>
      </c>
      <c r="Y113" s="58">
        <f>X113/H113*3+W113</f>
        <v>262.62</v>
      </c>
      <c r="Z113" s="58">
        <f t="shared" si="24"/>
        <v>145.07999999999998</v>
      </c>
      <c r="AA113" s="42">
        <v>64.7</v>
      </c>
      <c r="AB113" s="24"/>
      <c r="AC113" s="175">
        <v>47</v>
      </c>
    </row>
    <row r="114" spans="1:29" ht="12.75">
      <c r="A114" s="205">
        <v>78</v>
      </c>
      <c r="B114" s="19">
        <v>1988</v>
      </c>
      <c r="C114" s="19" t="s">
        <v>16</v>
      </c>
      <c r="D114" s="27" t="s">
        <v>190</v>
      </c>
      <c r="E114" s="20">
        <v>70</v>
      </c>
      <c r="F114" s="20" t="s">
        <v>151</v>
      </c>
      <c r="G114" s="20">
        <v>12</v>
      </c>
      <c r="H114" s="20">
        <v>3</v>
      </c>
      <c r="I114" s="21">
        <v>1</v>
      </c>
      <c r="J114" s="20">
        <v>1</v>
      </c>
      <c r="K114" s="20"/>
      <c r="L114" s="21">
        <v>4</v>
      </c>
      <c r="M114" s="19">
        <v>15</v>
      </c>
      <c r="N114" s="120">
        <v>602.1</v>
      </c>
      <c r="O114" s="120">
        <v>259.7</v>
      </c>
      <c r="P114" s="206">
        <v>152.6</v>
      </c>
      <c r="Q114" s="24"/>
      <c r="R114" s="22"/>
      <c r="S114" s="21"/>
      <c r="T114" s="22"/>
      <c r="U114" s="161">
        <v>126.1</v>
      </c>
      <c r="V114" s="22">
        <v>47.7</v>
      </c>
      <c r="W114" s="22">
        <v>24.8</v>
      </c>
      <c r="X114" s="22">
        <f t="shared" si="23"/>
        <v>62.010000000000005</v>
      </c>
      <c r="Y114" s="58">
        <f>W114+X114</f>
        <v>86.81</v>
      </c>
      <c r="Z114" s="58">
        <f t="shared" si="24"/>
        <v>0</v>
      </c>
      <c r="AA114" s="42">
        <v>10.5</v>
      </c>
      <c r="AB114" s="24"/>
      <c r="AC114" s="175">
        <v>48</v>
      </c>
    </row>
    <row r="115" spans="1:29" ht="12.75">
      <c r="A115" s="205">
        <v>79</v>
      </c>
      <c r="B115" s="19">
        <v>1995</v>
      </c>
      <c r="C115" s="19" t="s">
        <v>16</v>
      </c>
      <c r="D115" s="27" t="s">
        <v>190</v>
      </c>
      <c r="E115" s="20" t="s">
        <v>145</v>
      </c>
      <c r="F115" s="20" t="s">
        <v>7</v>
      </c>
      <c r="G115" s="20">
        <v>10</v>
      </c>
      <c r="H115" s="20">
        <v>3</v>
      </c>
      <c r="I115" s="21">
        <v>1</v>
      </c>
      <c r="J115" s="20">
        <v>3</v>
      </c>
      <c r="K115" s="20"/>
      <c r="L115" s="21">
        <v>24</v>
      </c>
      <c r="M115" s="19">
        <v>65</v>
      </c>
      <c r="N115" s="120">
        <f>O115+Q115+S115+U115+V115+W115</f>
        <v>1454.3000000000002</v>
      </c>
      <c r="O115" s="120">
        <v>1287.4</v>
      </c>
      <c r="P115" s="206">
        <v>791.3</v>
      </c>
      <c r="Q115" s="24"/>
      <c r="R115" s="22"/>
      <c r="S115" s="21"/>
      <c r="T115" s="22"/>
      <c r="U115" s="22"/>
      <c r="V115" s="22">
        <v>122.4</v>
      </c>
      <c r="W115" s="22">
        <v>44.5</v>
      </c>
      <c r="X115" s="22">
        <f t="shared" si="23"/>
        <v>159.12</v>
      </c>
      <c r="Y115" s="58">
        <f>W115+X115</f>
        <v>203.62</v>
      </c>
      <c r="Z115" s="58">
        <f>W115+X115-Y115</f>
        <v>0</v>
      </c>
      <c r="AA115" s="42">
        <v>33.1</v>
      </c>
      <c r="AB115" s="24"/>
      <c r="AC115" s="175">
        <v>49</v>
      </c>
    </row>
    <row r="116" spans="1:29" ht="12.75">
      <c r="A116" s="205">
        <v>80</v>
      </c>
      <c r="B116" s="19">
        <v>1986</v>
      </c>
      <c r="C116" s="19" t="s">
        <v>16</v>
      </c>
      <c r="D116" s="27" t="s">
        <v>190</v>
      </c>
      <c r="E116" s="20">
        <v>74</v>
      </c>
      <c r="F116" s="20" t="s">
        <v>151</v>
      </c>
      <c r="G116" s="20">
        <v>12</v>
      </c>
      <c r="H116" s="20">
        <v>3</v>
      </c>
      <c r="I116" s="21">
        <v>1</v>
      </c>
      <c r="J116" s="20">
        <v>1</v>
      </c>
      <c r="K116" s="20"/>
      <c r="L116" s="21">
        <v>4</v>
      </c>
      <c r="M116" s="19">
        <v>12</v>
      </c>
      <c r="N116" s="120">
        <v>379.9</v>
      </c>
      <c r="O116" s="120">
        <v>257.6</v>
      </c>
      <c r="P116" s="206">
        <v>152</v>
      </c>
      <c r="Q116" s="24"/>
      <c r="R116" s="22"/>
      <c r="S116" s="21"/>
      <c r="T116" s="22"/>
      <c r="U116" s="22">
        <v>124.2</v>
      </c>
      <c r="V116" s="22">
        <v>37.6</v>
      </c>
      <c r="W116" s="22">
        <v>23.4</v>
      </c>
      <c r="X116" s="22">
        <f t="shared" si="23"/>
        <v>48.88</v>
      </c>
      <c r="Y116" s="58">
        <f>W116+X116</f>
        <v>72.28</v>
      </c>
      <c r="Z116" s="58">
        <f>W116+X116-Y116</f>
        <v>0</v>
      </c>
      <c r="AA116" s="42">
        <v>11.4</v>
      </c>
      <c r="AB116" s="24"/>
      <c r="AC116" s="175">
        <v>50</v>
      </c>
    </row>
    <row r="117" spans="1:29" ht="12.75">
      <c r="A117" s="205">
        <v>81</v>
      </c>
      <c r="B117" s="19">
        <v>1984</v>
      </c>
      <c r="C117" s="19" t="s">
        <v>16</v>
      </c>
      <c r="D117" s="27" t="s">
        <v>190</v>
      </c>
      <c r="E117" s="20" t="s">
        <v>146</v>
      </c>
      <c r="F117" s="20" t="s">
        <v>7</v>
      </c>
      <c r="G117" s="20">
        <v>10</v>
      </c>
      <c r="H117" s="20">
        <v>2</v>
      </c>
      <c r="I117" s="21">
        <v>1</v>
      </c>
      <c r="J117" s="20">
        <v>2</v>
      </c>
      <c r="K117" s="20"/>
      <c r="L117" s="21">
        <v>24</v>
      </c>
      <c r="M117" s="19">
        <v>52</v>
      </c>
      <c r="N117" s="120">
        <v>1192.4</v>
      </c>
      <c r="O117" s="120">
        <v>1055.1</v>
      </c>
      <c r="P117" s="206">
        <v>559.1</v>
      </c>
      <c r="Q117" s="24"/>
      <c r="R117" s="22"/>
      <c r="S117" s="21"/>
      <c r="T117" s="22"/>
      <c r="U117" s="22"/>
      <c r="V117" s="22">
        <v>65.2</v>
      </c>
      <c r="W117" s="22">
        <v>72.1</v>
      </c>
      <c r="X117" s="22">
        <f t="shared" si="23"/>
        <v>84.76</v>
      </c>
      <c r="Y117" s="58">
        <f>W117+X117</f>
        <v>156.86</v>
      </c>
      <c r="Z117" s="58">
        <f>W117+X117-Y117</f>
        <v>0</v>
      </c>
      <c r="AA117" s="42">
        <v>25.2</v>
      </c>
      <c r="AB117" s="24"/>
      <c r="AC117" s="175">
        <v>51</v>
      </c>
    </row>
    <row r="118" spans="1:28" ht="12.75">
      <c r="A118" s="205">
        <v>82</v>
      </c>
      <c r="B118" s="19">
        <v>1984</v>
      </c>
      <c r="C118" s="19"/>
      <c r="D118" s="27" t="s">
        <v>57</v>
      </c>
      <c r="E118" s="20">
        <v>51</v>
      </c>
      <c r="F118" s="20" t="s">
        <v>7</v>
      </c>
      <c r="G118" s="20">
        <v>7</v>
      </c>
      <c r="H118" s="20">
        <v>5</v>
      </c>
      <c r="I118" s="21">
        <v>1</v>
      </c>
      <c r="J118" s="20">
        <v>1</v>
      </c>
      <c r="K118" s="20"/>
      <c r="L118" s="21">
        <v>16</v>
      </c>
      <c r="M118" s="19">
        <v>48</v>
      </c>
      <c r="N118" s="120">
        <v>1217.1</v>
      </c>
      <c r="O118" s="120">
        <v>895.8</v>
      </c>
      <c r="P118" s="206">
        <v>534</v>
      </c>
      <c r="Q118" s="24"/>
      <c r="R118" s="22"/>
      <c r="S118" s="21"/>
      <c r="T118" s="22"/>
      <c r="U118" s="22"/>
      <c r="V118" s="22"/>
      <c r="W118" s="22"/>
      <c r="X118" s="22"/>
      <c r="Y118" s="58"/>
      <c r="Z118" s="58"/>
      <c r="AA118" s="225"/>
      <c r="AB118" s="226"/>
    </row>
    <row r="119" spans="1:28" ht="13.5" thickBot="1">
      <c r="A119" s="205"/>
      <c r="B119" s="155"/>
      <c r="C119" s="155"/>
      <c r="D119" s="156"/>
      <c r="E119" s="157"/>
      <c r="F119" s="157"/>
      <c r="G119" s="157"/>
      <c r="H119" s="157"/>
      <c r="I119" s="158">
        <f aca="true" t="shared" si="26" ref="I119:P119">SUM(I90:I118)</f>
        <v>29</v>
      </c>
      <c r="J119" s="158">
        <f t="shared" si="26"/>
        <v>75</v>
      </c>
      <c r="K119" s="158">
        <f t="shared" si="26"/>
        <v>0</v>
      </c>
      <c r="L119" s="158">
        <f t="shared" si="26"/>
        <v>928</v>
      </c>
      <c r="M119" s="158">
        <f t="shared" si="26"/>
        <v>2551</v>
      </c>
      <c r="N119" s="158">
        <f t="shared" si="26"/>
        <v>61441.479999999996</v>
      </c>
      <c r="O119" s="158">
        <f t="shared" si="26"/>
        <v>51677.21</v>
      </c>
      <c r="P119" s="242">
        <f t="shared" si="26"/>
        <v>29675.099999999995</v>
      </c>
      <c r="Q119" s="214">
        <f aca="true" t="shared" si="27" ref="Q119:AB119">SUM(Q90:Q117)</f>
        <v>328.6</v>
      </c>
      <c r="R119" s="20">
        <f t="shared" si="27"/>
        <v>203.79999999999995</v>
      </c>
      <c r="S119" s="20">
        <f t="shared" si="27"/>
        <v>87.5</v>
      </c>
      <c r="T119" s="20">
        <f t="shared" si="27"/>
        <v>63.4</v>
      </c>
      <c r="U119" s="20">
        <f t="shared" si="27"/>
        <v>1505.6</v>
      </c>
      <c r="V119" s="20">
        <f t="shared" si="27"/>
        <v>4756.2</v>
      </c>
      <c r="W119" s="20">
        <f t="shared" si="27"/>
        <v>1658.6</v>
      </c>
      <c r="X119" s="20">
        <f t="shared" si="27"/>
        <v>6183.0599999999995</v>
      </c>
      <c r="Y119" s="20">
        <f t="shared" si="27"/>
        <v>5920.228000000001</v>
      </c>
      <c r="Z119" s="20">
        <f t="shared" si="27"/>
        <v>1921.432</v>
      </c>
      <c r="AA119" s="114">
        <f t="shared" si="27"/>
        <v>679.5000000000001</v>
      </c>
      <c r="AB119" s="82">
        <f t="shared" si="27"/>
        <v>544.1499999999999</v>
      </c>
    </row>
    <row r="120" spans="1:28" ht="13.5" thickBot="1">
      <c r="A120" s="205"/>
      <c r="B120" s="19"/>
      <c r="C120" s="19"/>
      <c r="D120" s="27"/>
      <c r="E120" s="21"/>
      <c r="F120" s="21"/>
      <c r="G120" s="21"/>
      <c r="H120" s="21"/>
      <c r="I120" s="20"/>
      <c r="J120" s="20"/>
      <c r="K120" s="20"/>
      <c r="L120" s="44"/>
      <c r="M120" s="21"/>
      <c r="N120" s="153"/>
      <c r="O120" s="153"/>
      <c r="P120" s="218"/>
      <c r="Q120" s="212">
        <v>359.5</v>
      </c>
      <c r="R120" s="20"/>
      <c r="S120" s="20"/>
      <c r="T120" s="20"/>
      <c r="U120" s="20"/>
      <c r="V120" s="20"/>
      <c r="W120" s="20"/>
      <c r="X120" s="20"/>
      <c r="Y120" s="20"/>
      <c r="Z120" s="20"/>
      <c r="AA120" s="79"/>
      <c r="AB120" s="79"/>
    </row>
    <row r="121" spans="1:28" ht="13.5" thickBot="1">
      <c r="A121" s="233"/>
      <c r="B121" s="15"/>
      <c r="C121" s="15"/>
      <c r="D121" s="115" t="s">
        <v>25</v>
      </c>
      <c r="E121" s="20"/>
      <c r="F121" s="20"/>
      <c r="G121" s="20"/>
      <c r="H121" s="20"/>
      <c r="I121" s="153">
        <f aca="true" t="shared" si="28" ref="I121:AB121">I119+I88+I80</f>
        <v>44</v>
      </c>
      <c r="J121" s="153">
        <f t="shared" si="28"/>
        <v>111</v>
      </c>
      <c r="K121" s="153">
        <f t="shared" si="28"/>
        <v>0</v>
      </c>
      <c r="L121" s="153">
        <f t="shared" si="28"/>
        <v>1322</v>
      </c>
      <c r="M121" s="153">
        <f t="shared" si="28"/>
        <v>3696</v>
      </c>
      <c r="N121" s="153">
        <f t="shared" si="28"/>
        <v>89126.37</v>
      </c>
      <c r="O121" s="153">
        <f t="shared" si="28"/>
        <v>72791.20999999999</v>
      </c>
      <c r="P121" s="218">
        <f t="shared" si="28"/>
        <v>41753.69999999999</v>
      </c>
      <c r="Q121" s="192">
        <f t="shared" si="28"/>
        <v>328.6</v>
      </c>
      <c r="R121" s="162">
        <f t="shared" si="28"/>
        <v>203.79999999999995</v>
      </c>
      <c r="S121" s="153">
        <f t="shared" si="28"/>
        <v>310.40000000000003</v>
      </c>
      <c r="T121" s="153">
        <f t="shared" si="28"/>
        <v>241.6</v>
      </c>
      <c r="U121" s="153">
        <f t="shared" si="28"/>
        <v>4359.299999999999</v>
      </c>
      <c r="V121" s="162">
        <f t="shared" si="28"/>
        <v>6532.099999999999</v>
      </c>
      <c r="W121" s="163">
        <f t="shared" si="28"/>
        <v>2200.5</v>
      </c>
      <c r="X121" s="163">
        <f t="shared" si="28"/>
        <v>8491.73</v>
      </c>
      <c r="Y121" s="163">
        <f t="shared" si="28"/>
        <v>8195.574</v>
      </c>
      <c r="Z121" s="163">
        <f t="shared" si="28"/>
        <v>2496.656</v>
      </c>
      <c r="AA121" s="56">
        <f t="shared" si="28"/>
        <v>799.7000000000002</v>
      </c>
      <c r="AB121" s="56">
        <f t="shared" si="28"/>
        <v>878.2499999999999</v>
      </c>
    </row>
    <row r="122" spans="1:28" ht="12.75">
      <c r="A122" s="205"/>
      <c r="B122" s="19"/>
      <c r="C122" s="19"/>
      <c r="D122" s="20" t="s">
        <v>61</v>
      </c>
      <c r="E122" s="21"/>
      <c r="F122" s="21"/>
      <c r="G122" s="21"/>
      <c r="H122" s="21"/>
      <c r="I122" s="21"/>
      <c r="J122" s="21"/>
      <c r="K122" s="21"/>
      <c r="L122" s="22"/>
      <c r="M122" s="15"/>
      <c r="N122" s="120"/>
      <c r="O122" s="120"/>
      <c r="P122" s="206"/>
      <c r="Q122" s="24"/>
      <c r="R122" s="22"/>
      <c r="S122" s="22"/>
      <c r="T122" s="22"/>
      <c r="U122" s="22"/>
      <c r="V122" s="22"/>
      <c r="W122" s="22"/>
      <c r="X122" s="22"/>
      <c r="Y122" s="22"/>
      <c r="Z122" s="22"/>
      <c r="AA122" s="92"/>
      <c r="AB122" s="18"/>
    </row>
    <row r="123" spans="1:29" ht="12.75">
      <c r="A123" s="209">
        <v>83</v>
      </c>
      <c r="B123" s="19">
        <v>1989</v>
      </c>
      <c r="C123" s="19" t="s">
        <v>62</v>
      </c>
      <c r="D123" s="27" t="s">
        <v>10</v>
      </c>
      <c r="E123" s="20">
        <v>78</v>
      </c>
      <c r="F123" s="21" t="s">
        <v>7</v>
      </c>
      <c r="G123" s="20">
        <v>3</v>
      </c>
      <c r="H123" s="20">
        <v>9</v>
      </c>
      <c r="I123" s="20">
        <v>1</v>
      </c>
      <c r="J123" s="20">
        <v>1</v>
      </c>
      <c r="K123" s="20"/>
      <c r="L123" s="19">
        <f>9+96</f>
        <v>105</v>
      </c>
      <c r="M123" s="19">
        <v>262</v>
      </c>
      <c r="N123" s="160">
        <f>O123+Q123+S123+U123+V123+W123+0.7</f>
        <v>6325.799999999998</v>
      </c>
      <c r="O123" s="160">
        <v>4538.9</v>
      </c>
      <c r="P123" s="207">
        <f>2541.6+25.6-25.5-0.1-0.2</f>
        <v>2541.4</v>
      </c>
      <c r="Q123" s="24"/>
      <c r="R123" s="22"/>
      <c r="S123" s="22">
        <f>44.6+44.7+44.8+29.6</f>
        <v>163.70000000000002</v>
      </c>
      <c r="T123" s="22">
        <f>25.3+25.3+25.5+15.4</f>
        <v>91.5</v>
      </c>
      <c r="U123" s="22">
        <v>108.2</v>
      </c>
      <c r="V123" s="22">
        <v>137.7</v>
      </c>
      <c r="W123" s="22">
        <f>1361+15.6</f>
        <v>1376.6</v>
      </c>
      <c r="X123" s="22">
        <f aca="true" t="shared" si="29" ref="X123:X154">V123*1.3</f>
        <v>179.01</v>
      </c>
      <c r="Y123" s="58">
        <f>W123/H123*4+X123/H123*4</f>
        <v>691.3822222222223</v>
      </c>
      <c r="Z123" s="58">
        <f aca="true" t="shared" si="30" ref="Z123:Z154">W123+X123-Y123</f>
        <v>864.2277777777776</v>
      </c>
      <c r="AA123" s="95"/>
      <c r="AB123" s="96">
        <v>75.6</v>
      </c>
      <c r="AC123" s="175">
        <v>1</v>
      </c>
    </row>
    <row r="124" spans="1:29" ht="12.75">
      <c r="A124" s="209">
        <v>84</v>
      </c>
      <c r="B124" s="19">
        <v>1990</v>
      </c>
      <c r="C124" s="19" t="s">
        <v>63</v>
      </c>
      <c r="D124" s="27" t="s">
        <v>10</v>
      </c>
      <c r="E124" s="20" t="s">
        <v>64</v>
      </c>
      <c r="F124" s="21" t="s">
        <v>7</v>
      </c>
      <c r="G124" s="20">
        <v>3</v>
      </c>
      <c r="H124" s="20">
        <v>9</v>
      </c>
      <c r="I124" s="20">
        <v>1</v>
      </c>
      <c r="J124" s="20">
        <v>1</v>
      </c>
      <c r="K124" s="20"/>
      <c r="L124" s="19">
        <v>108</v>
      </c>
      <c r="M124" s="19">
        <v>279</v>
      </c>
      <c r="N124" s="120">
        <f>O124+Q124+S124+U124+V124+W124-0.1</f>
        <v>6226.6</v>
      </c>
      <c r="O124" s="120">
        <v>4731.8</v>
      </c>
      <c r="P124" s="207">
        <f>2699.2-0.3-0.5</f>
        <v>2698.3999999999996</v>
      </c>
      <c r="Q124" s="24"/>
      <c r="R124" s="22"/>
      <c r="S124" s="22"/>
      <c r="T124" s="22"/>
      <c r="U124" s="22"/>
      <c r="V124" s="22">
        <v>138</v>
      </c>
      <c r="W124" s="22">
        <v>1356.9</v>
      </c>
      <c r="X124" s="22">
        <f t="shared" si="29"/>
        <v>179.4</v>
      </c>
      <c r="Y124" s="58">
        <f>W124/H124*4+X124/H124*4</f>
        <v>682.8000000000001</v>
      </c>
      <c r="Z124" s="58">
        <f t="shared" si="30"/>
        <v>853.5000000000001</v>
      </c>
      <c r="AA124" s="24"/>
      <c r="AB124" s="42">
        <v>81</v>
      </c>
      <c r="AC124" s="175">
        <v>2</v>
      </c>
    </row>
    <row r="125" spans="1:29" ht="12.75">
      <c r="A125" s="209">
        <v>85</v>
      </c>
      <c r="B125" s="19">
        <v>1990</v>
      </c>
      <c r="C125" s="19" t="s">
        <v>65</v>
      </c>
      <c r="D125" s="27" t="s">
        <v>10</v>
      </c>
      <c r="E125" s="20">
        <v>80</v>
      </c>
      <c r="F125" s="21" t="s">
        <v>7</v>
      </c>
      <c r="G125" s="20">
        <v>3</v>
      </c>
      <c r="H125" s="20">
        <v>9</v>
      </c>
      <c r="I125" s="20">
        <v>1</v>
      </c>
      <c r="J125" s="20">
        <v>1</v>
      </c>
      <c r="K125" s="20"/>
      <c r="L125" s="19">
        <v>108</v>
      </c>
      <c r="M125" s="19">
        <v>299</v>
      </c>
      <c r="N125" s="160">
        <v>6317</v>
      </c>
      <c r="O125" s="120">
        <v>4775.7</v>
      </c>
      <c r="P125" s="207">
        <v>2729.1</v>
      </c>
      <c r="Q125" s="24"/>
      <c r="R125" s="22"/>
      <c r="S125" s="22"/>
      <c r="T125" s="22"/>
      <c r="U125" s="22"/>
      <c r="V125" s="22">
        <v>137.7</v>
      </c>
      <c r="W125" s="22">
        <v>1357.8</v>
      </c>
      <c r="X125" s="22">
        <f t="shared" si="29"/>
        <v>179.01</v>
      </c>
      <c r="Y125" s="58">
        <f>W125/H125*4+X125/H125*4</f>
        <v>683.0266666666666</v>
      </c>
      <c r="Z125" s="58">
        <f t="shared" si="30"/>
        <v>853.7833333333333</v>
      </c>
      <c r="AA125" s="24"/>
      <c r="AB125" s="42">
        <v>81</v>
      </c>
      <c r="AC125" s="175">
        <v>3</v>
      </c>
    </row>
    <row r="126" spans="1:29" ht="12.75">
      <c r="A126" s="209">
        <v>86</v>
      </c>
      <c r="B126" s="19">
        <v>1989</v>
      </c>
      <c r="C126" s="19" t="s">
        <v>66</v>
      </c>
      <c r="D126" s="27" t="s">
        <v>10</v>
      </c>
      <c r="E126" s="20">
        <v>88</v>
      </c>
      <c r="F126" s="21" t="s">
        <v>7</v>
      </c>
      <c r="G126" s="20">
        <v>3</v>
      </c>
      <c r="H126" s="20">
        <v>9</v>
      </c>
      <c r="I126" s="20">
        <v>1</v>
      </c>
      <c r="J126" s="20">
        <v>1</v>
      </c>
      <c r="K126" s="20"/>
      <c r="L126" s="19">
        <v>104</v>
      </c>
      <c r="M126" s="19">
        <v>303</v>
      </c>
      <c r="N126" s="120">
        <v>6347.3</v>
      </c>
      <c r="O126" s="120">
        <v>4638.1</v>
      </c>
      <c r="P126" s="207">
        <f>2573.6+0.2-0.1-0.1+0.1-0.4-1.1</f>
        <v>2572.2</v>
      </c>
      <c r="Q126" s="24"/>
      <c r="R126" s="22"/>
      <c r="S126" s="22">
        <v>29.5</v>
      </c>
      <c r="T126" s="22">
        <v>15.2</v>
      </c>
      <c r="U126" s="22">
        <v>180.7</v>
      </c>
      <c r="V126" s="22">
        <v>138.4</v>
      </c>
      <c r="W126" s="22">
        <v>1360.2</v>
      </c>
      <c r="X126" s="22">
        <f t="shared" si="29"/>
        <v>179.92000000000002</v>
      </c>
      <c r="Y126" s="58">
        <f>W126/H126*4+X126/H126*4</f>
        <v>684.4977777777777</v>
      </c>
      <c r="Z126" s="58">
        <f t="shared" si="30"/>
        <v>855.6222222222224</v>
      </c>
      <c r="AA126" s="90"/>
      <c r="AB126" s="89">
        <v>81</v>
      </c>
      <c r="AC126" s="175">
        <v>4</v>
      </c>
    </row>
    <row r="127" spans="1:29" ht="12.75">
      <c r="A127" s="209">
        <v>87</v>
      </c>
      <c r="B127" s="19">
        <v>1985</v>
      </c>
      <c r="C127" s="19" t="s">
        <v>59</v>
      </c>
      <c r="D127" s="27" t="s">
        <v>10</v>
      </c>
      <c r="E127" s="20">
        <v>82</v>
      </c>
      <c r="F127" s="21" t="s">
        <v>7</v>
      </c>
      <c r="G127" s="21">
        <v>8</v>
      </c>
      <c r="H127" s="21">
        <v>5</v>
      </c>
      <c r="I127" s="20">
        <v>1</v>
      </c>
      <c r="J127" s="21">
        <v>8</v>
      </c>
      <c r="K127" s="21"/>
      <c r="L127" s="19">
        <v>120</v>
      </c>
      <c r="M127" s="19">
        <v>291</v>
      </c>
      <c r="N127" s="120">
        <v>6567.9</v>
      </c>
      <c r="O127" s="120">
        <v>5911.6</v>
      </c>
      <c r="P127" s="207">
        <f>3402.3+0.2-18</f>
        <v>3384.5</v>
      </c>
      <c r="Q127" s="24"/>
      <c r="R127" s="22"/>
      <c r="S127" s="22"/>
      <c r="T127" s="22"/>
      <c r="U127" s="22">
        <v>17.5</v>
      </c>
      <c r="V127" s="22">
        <v>567.4</v>
      </c>
      <c r="W127" s="44">
        <f>88.9+17.5-17.5</f>
        <v>88.9</v>
      </c>
      <c r="X127" s="22">
        <f t="shared" si="29"/>
        <v>737.62</v>
      </c>
      <c r="Y127" s="58">
        <f aca="true" t="shared" si="31" ref="Y127:Y153">X127/H127*3+W127</f>
        <v>531.472</v>
      </c>
      <c r="Z127" s="58">
        <f t="shared" si="30"/>
        <v>295.048</v>
      </c>
      <c r="AA127" s="24"/>
      <c r="AB127" s="42">
        <v>115.2</v>
      </c>
      <c r="AC127" s="175">
        <v>5</v>
      </c>
    </row>
    <row r="128" spans="1:29" ht="12.75">
      <c r="A128" s="209">
        <v>88</v>
      </c>
      <c r="B128" s="19">
        <v>1985</v>
      </c>
      <c r="C128" s="19" t="s">
        <v>59</v>
      </c>
      <c r="D128" s="27" t="s">
        <v>10</v>
      </c>
      <c r="E128" s="20" t="s">
        <v>67</v>
      </c>
      <c r="F128" s="21" t="s">
        <v>7</v>
      </c>
      <c r="G128" s="21">
        <v>8</v>
      </c>
      <c r="H128" s="21">
        <v>5</v>
      </c>
      <c r="I128" s="20">
        <v>1</v>
      </c>
      <c r="J128" s="21">
        <v>4</v>
      </c>
      <c r="K128" s="21"/>
      <c r="L128" s="19">
        <v>60</v>
      </c>
      <c r="M128" s="19">
        <v>142</v>
      </c>
      <c r="N128" s="120">
        <f aca="true" t="shared" si="32" ref="N128:N154">O128+Q128+S128+U128+V128+W128</f>
        <v>3301.7999999999997</v>
      </c>
      <c r="O128" s="120">
        <f>2977.5-0.4-0.4+0.2-0.5</f>
        <v>2976.3999999999996</v>
      </c>
      <c r="P128" s="207">
        <f>1722.3-0.2-0.5+3.5</f>
        <v>1725.1</v>
      </c>
      <c r="Q128" s="24"/>
      <c r="R128" s="22"/>
      <c r="S128" s="22"/>
      <c r="T128" s="22"/>
      <c r="U128" s="22"/>
      <c r="V128" s="22">
        <v>281.1</v>
      </c>
      <c r="W128" s="22">
        <v>44.3</v>
      </c>
      <c r="X128" s="22">
        <f t="shared" si="29"/>
        <v>365.43000000000006</v>
      </c>
      <c r="Y128" s="58">
        <f t="shared" si="31"/>
        <v>263.55800000000005</v>
      </c>
      <c r="Z128" s="58">
        <f t="shared" si="30"/>
        <v>146.17200000000003</v>
      </c>
      <c r="AA128" s="24"/>
      <c r="AB128" s="42">
        <v>57.6</v>
      </c>
      <c r="AC128" s="175">
        <v>6</v>
      </c>
    </row>
    <row r="129" spans="1:29" ht="12.75">
      <c r="A129" s="209">
        <v>89</v>
      </c>
      <c r="B129" s="19">
        <v>1986</v>
      </c>
      <c r="C129" s="19" t="s">
        <v>15</v>
      </c>
      <c r="D129" s="27" t="s">
        <v>10</v>
      </c>
      <c r="E129" s="20" t="s">
        <v>68</v>
      </c>
      <c r="F129" s="21" t="s">
        <v>7</v>
      </c>
      <c r="G129" s="21">
        <v>8</v>
      </c>
      <c r="H129" s="21">
        <v>5</v>
      </c>
      <c r="I129" s="20">
        <v>1</v>
      </c>
      <c r="J129" s="21">
        <v>7</v>
      </c>
      <c r="K129" s="21"/>
      <c r="L129" s="19">
        <v>69</v>
      </c>
      <c r="M129" s="19">
        <v>227</v>
      </c>
      <c r="N129" s="120">
        <v>5561.7</v>
      </c>
      <c r="O129" s="120">
        <f>4922.8-0.9-1.2-0.1</f>
        <v>4920.6</v>
      </c>
      <c r="P129" s="207">
        <f>3177.5+3.1</f>
        <v>3180.6</v>
      </c>
      <c r="Q129" s="24"/>
      <c r="R129" s="22"/>
      <c r="S129" s="22">
        <v>79.8</v>
      </c>
      <c r="T129" s="22">
        <v>51.2</v>
      </c>
      <c r="U129" s="22"/>
      <c r="V129" s="22">
        <v>485.2</v>
      </c>
      <c r="W129" s="22">
        <v>77.2</v>
      </c>
      <c r="X129" s="22">
        <f t="shared" si="29"/>
        <v>630.76</v>
      </c>
      <c r="Y129" s="58">
        <f t="shared" si="31"/>
        <v>455.656</v>
      </c>
      <c r="Z129" s="58">
        <f t="shared" si="30"/>
        <v>252.30400000000003</v>
      </c>
      <c r="AA129" s="24"/>
      <c r="AB129" s="42">
        <v>67.2</v>
      </c>
      <c r="AC129" s="175">
        <v>7</v>
      </c>
    </row>
    <row r="130" spans="1:29" ht="12.75">
      <c r="A130" s="209">
        <v>90</v>
      </c>
      <c r="B130" s="19">
        <v>1986</v>
      </c>
      <c r="C130" s="19" t="s">
        <v>15</v>
      </c>
      <c r="D130" s="27" t="s">
        <v>10</v>
      </c>
      <c r="E130" s="20" t="s">
        <v>69</v>
      </c>
      <c r="F130" s="21" t="s">
        <v>7</v>
      </c>
      <c r="G130" s="21">
        <v>8</v>
      </c>
      <c r="H130" s="21">
        <v>5</v>
      </c>
      <c r="I130" s="20">
        <v>1</v>
      </c>
      <c r="J130" s="21">
        <v>7</v>
      </c>
      <c r="K130" s="21"/>
      <c r="L130" s="19">
        <v>105</v>
      </c>
      <c r="M130" s="19">
        <v>274</v>
      </c>
      <c r="N130" s="120">
        <f t="shared" si="32"/>
        <v>5769.099999999999</v>
      </c>
      <c r="O130" s="120">
        <v>5198.9</v>
      </c>
      <c r="P130" s="207">
        <f>2981.6-0.7-0.3-0.4-0.2</f>
        <v>2980</v>
      </c>
      <c r="Q130" s="24"/>
      <c r="R130" s="22"/>
      <c r="S130" s="22"/>
      <c r="T130" s="22"/>
      <c r="U130" s="22"/>
      <c r="V130" s="22">
        <v>477.7</v>
      </c>
      <c r="W130" s="22">
        <v>92.5</v>
      </c>
      <c r="X130" s="22">
        <f t="shared" si="29"/>
        <v>621.01</v>
      </c>
      <c r="Y130" s="58">
        <f t="shared" si="31"/>
        <v>465.106</v>
      </c>
      <c r="Z130" s="58">
        <f t="shared" si="30"/>
        <v>248.404</v>
      </c>
      <c r="AA130" s="90"/>
      <c r="AB130" s="89">
        <v>100.8</v>
      </c>
      <c r="AC130" s="175">
        <v>8</v>
      </c>
    </row>
    <row r="131" spans="1:29" ht="12.75">
      <c r="A131" s="209">
        <v>91</v>
      </c>
      <c r="B131" s="19">
        <v>1986</v>
      </c>
      <c r="C131" s="19" t="s">
        <v>15</v>
      </c>
      <c r="D131" s="27" t="s">
        <v>10</v>
      </c>
      <c r="E131" s="20">
        <v>84</v>
      </c>
      <c r="F131" s="21" t="s">
        <v>7</v>
      </c>
      <c r="G131" s="21">
        <v>8</v>
      </c>
      <c r="H131" s="21">
        <v>5</v>
      </c>
      <c r="I131" s="20">
        <v>1</v>
      </c>
      <c r="J131" s="21">
        <v>8</v>
      </c>
      <c r="K131" s="21"/>
      <c r="L131" s="19">
        <v>119</v>
      </c>
      <c r="M131" s="19">
        <v>337</v>
      </c>
      <c r="N131" s="120">
        <v>6599.2</v>
      </c>
      <c r="O131" s="120">
        <v>5892.6</v>
      </c>
      <c r="P131" s="207">
        <f>3402.6-0.3-0.4</f>
        <v>3401.8999999999996</v>
      </c>
      <c r="Q131" s="24"/>
      <c r="R131" s="22"/>
      <c r="S131" s="22">
        <v>51.5</v>
      </c>
      <c r="T131" s="22">
        <v>29.1</v>
      </c>
      <c r="U131" s="22"/>
      <c r="V131" s="22">
        <v>567.4</v>
      </c>
      <c r="W131" s="22">
        <v>88.7</v>
      </c>
      <c r="X131" s="22">
        <f t="shared" si="29"/>
        <v>737.62</v>
      </c>
      <c r="Y131" s="58">
        <f t="shared" si="31"/>
        <v>531.272</v>
      </c>
      <c r="Z131" s="58">
        <f t="shared" si="30"/>
        <v>295.048</v>
      </c>
      <c r="AA131" s="24"/>
      <c r="AB131" s="42">
        <v>115.2</v>
      </c>
      <c r="AC131" s="175">
        <v>9</v>
      </c>
    </row>
    <row r="132" spans="1:29" ht="12.75">
      <c r="A132" s="209">
        <v>92</v>
      </c>
      <c r="B132" s="19">
        <v>1986</v>
      </c>
      <c r="C132" s="19" t="s">
        <v>70</v>
      </c>
      <c r="D132" s="27" t="s">
        <v>10</v>
      </c>
      <c r="E132" s="20" t="s">
        <v>71</v>
      </c>
      <c r="F132" s="21" t="s">
        <v>7</v>
      </c>
      <c r="G132" s="21">
        <v>8</v>
      </c>
      <c r="H132" s="21">
        <v>5</v>
      </c>
      <c r="I132" s="20">
        <v>1</v>
      </c>
      <c r="J132" s="21">
        <v>4</v>
      </c>
      <c r="K132" s="21"/>
      <c r="L132" s="19">
        <v>59</v>
      </c>
      <c r="M132" s="19">
        <f>150+67+283</f>
        <v>500</v>
      </c>
      <c r="N132" s="120">
        <v>3708.7</v>
      </c>
      <c r="O132" s="120">
        <v>2945.2</v>
      </c>
      <c r="P132" s="207">
        <f>1707.1-0.4</f>
        <v>1706.6999999999998</v>
      </c>
      <c r="Q132" s="24"/>
      <c r="R132" s="22"/>
      <c r="S132" s="22"/>
      <c r="T132" s="22"/>
      <c r="U132" s="22"/>
      <c r="V132" s="22">
        <v>283.3</v>
      </c>
      <c r="W132" s="22">
        <v>44.2</v>
      </c>
      <c r="X132" s="22">
        <f t="shared" si="29"/>
        <v>368.29</v>
      </c>
      <c r="Y132" s="58">
        <f t="shared" si="31"/>
        <v>265.174</v>
      </c>
      <c r="Z132" s="58">
        <f t="shared" si="30"/>
        <v>147.31600000000003</v>
      </c>
      <c r="AA132" s="24"/>
      <c r="AB132" s="42">
        <v>57.6</v>
      </c>
      <c r="AC132" s="175">
        <v>10</v>
      </c>
    </row>
    <row r="133" spans="1:29" ht="12.75">
      <c r="A133" s="209">
        <v>93</v>
      </c>
      <c r="B133" s="19">
        <v>1986</v>
      </c>
      <c r="C133" s="19" t="s">
        <v>15</v>
      </c>
      <c r="D133" s="27" t="s">
        <v>10</v>
      </c>
      <c r="E133" s="20" t="s">
        <v>72</v>
      </c>
      <c r="F133" s="21" t="s">
        <v>7</v>
      </c>
      <c r="G133" s="21">
        <v>8</v>
      </c>
      <c r="H133" s="21">
        <v>5</v>
      </c>
      <c r="I133" s="20">
        <v>1</v>
      </c>
      <c r="J133" s="21">
        <v>5</v>
      </c>
      <c r="K133" s="21"/>
      <c r="L133" s="19">
        <v>75</v>
      </c>
      <c r="M133" s="19">
        <v>202</v>
      </c>
      <c r="N133" s="160">
        <v>4122</v>
      </c>
      <c r="O133" s="120">
        <v>3727.2</v>
      </c>
      <c r="P133" s="207">
        <v>2141.4</v>
      </c>
      <c r="Q133" s="24"/>
      <c r="R133" s="22"/>
      <c r="S133" s="22"/>
      <c r="T133" s="22"/>
      <c r="U133" s="22"/>
      <c r="V133" s="22">
        <v>347.4</v>
      </c>
      <c r="W133" s="22">
        <v>47.4</v>
      </c>
      <c r="X133" s="22">
        <f t="shared" si="29"/>
        <v>451.62</v>
      </c>
      <c r="Y133" s="58">
        <f t="shared" si="31"/>
        <v>318.37199999999996</v>
      </c>
      <c r="Z133" s="58">
        <f t="shared" si="30"/>
        <v>180.64800000000002</v>
      </c>
      <c r="AA133" s="24"/>
      <c r="AB133" s="42">
        <v>72</v>
      </c>
      <c r="AC133" s="175">
        <v>11</v>
      </c>
    </row>
    <row r="134" spans="1:29" ht="12.75">
      <c r="A134" s="209">
        <v>94</v>
      </c>
      <c r="B134" s="19">
        <v>1986</v>
      </c>
      <c r="C134" s="19" t="s">
        <v>70</v>
      </c>
      <c r="D134" s="27" t="s">
        <v>10</v>
      </c>
      <c r="E134" s="20" t="s">
        <v>73</v>
      </c>
      <c r="F134" s="21" t="s">
        <v>7</v>
      </c>
      <c r="G134" s="21">
        <v>8</v>
      </c>
      <c r="H134" s="21">
        <v>5</v>
      </c>
      <c r="I134" s="20">
        <v>1</v>
      </c>
      <c r="J134" s="21">
        <v>6</v>
      </c>
      <c r="K134" s="21"/>
      <c r="L134" s="19">
        <v>60</v>
      </c>
      <c r="M134" s="19">
        <v>225</v>
      </c>
      <c r="N134" s="120">
        <v>4762.3</v>
      </c>
      <c r="O134" s="120">
        <v>4200.2</v>
      </c>
      <c r="P134" s="207">
        <f>2715.9-0.8-7.5-52.6</f>
        <v>2655</v>
      </c>
      <c r="Q134" s="24">
        <v>80.3</v>
      </c>
      <c r="R134" s="22">
        <v>52.6</v>
      </c>
      <c r="S134" s="22">
        <v>79.4</v>
      </c>
      <c r="T134" s="22">
        <v>51.8</v>
      </c>
      <c r="U134" s="22"/>
      <c r="V134" s="22">
        <v>419.7</v>
      </c>
      <c r="W134" s="22">
        <v>63.3</v>
      </c>
      <c r="X134" s="22">
        <f t="shared" si="29"/>
        <v>545.61</v>
      </c>
      <c r="Y134" s="58">
        <f t="shared" si="31"/>
        <v>390.666</v>
      </c>
      <c r="Z134" s="58">
        <f t="shared" si="30"/>
        <v>218.24399999999997</v>
      </c>
      <c r="AA134" s="24"/>
      <c r="AB134" s="42">
        <v>57.6</v>
      </c>
      <c r="AC134" s="175">
        <v>12</v>
      </c>
    </row>
    <row r="135" spans="1:29" ht="12.75">
      <c r="A135" s="209">
        <v>95</v>
      </c>
      <c r="B135" s="19">
        <v>1986</v>
      </c>
      <c r="C135" s="19" t="s">
        <v>16</v>
      </c>
      <c r="D135" s="27" t="s">
        <v>10</v>
      </c>
      <c r="E135" s="20">
        <v>86</v>
      </c>
      <c r="F135" s="21" t="s">
        <v>7</v>
      </c>
      <c r="G135" s="21">
        <v>8</v>
      </c>
      <c r="H135" s="21">
        <v>5</v>
      </c>
      <c r="I135" s="20">
        <v>1</v>
      </c>
      <c r="J135" s="21">
        <v>8</v>
      </c>
      <c r="K135" s="21"/>
      <c r="L135" s="19">
        <v>120</v>
      </c>
      <c r="M135" s="19">
        <v>323</v>
      </c>
      <c r="N135" s="120">
        <v>6556.95</v>
      </c>
      <c r="O135" s="120">
        <v>5940.5</v>
      </c>
      <c r="P135" s="207">
        <f>3418.8+0-0.3-0.4-0.3</f>
        <v>3417.7999999999997</v>
      </c>
      <c r="Q135" s="24"/>
      <c r="R135" s="22"/>
      <c r="S135" s="22"/>
      <c r="T135" s="22"/>
      <c r="U135" s="22"/>
      <c r="V135" s="22">
        <v>564.21</v>
      </c>
      <c r="W135" s="22">
        <v>105.5</v>
      </c>
      <c r="X135" s="22">
        <f t="shared" si="29"/>
        <v>733.4730000000001</v>
      </c>
      <c r="Y135" s="58">
        <f t="shared" si="31"/>
        <v>545.5838</v>
      </c>
      <c r="Z135" s="58">
        <f t="shared" si="30"/>
        <v>293.3892000000001</v>
      </c>
      <c r="AA135" s="24"/>
      <c r="AB135" s="42">
        <v>115.2</v>
      </c>
      <c r="AC135" s="175">
        <v>13</v>
      </c>
    </row>
    <row r="136" spans="1:29" ht="12.75">
      <c r="A136" s="209">
        <v>96</v>
      </c>
      <c r="B136" s="19">
        <v>1986</v>
      </c>
      <c r="C136" s="19" t="s">
        <v>74</v>
      </c>
      <c r="D136" s="27" t="s">
        <v>39</v>
      </c>
      <c r="E136" s="20">
        <v>36</v>
      </c>
      <c r="F136" s="21" t="s">
        <v>7</v>
      </c>
      <c r="G136" s="21">
        <v>8</v>
      </c>
      <c r="H136" s="21">
        <v>5</v>
      </c>
      <c r="I136" s="20">
        <v>1</v>
      </c>
      <c r="J136" s="21">
        <v>8</v>
      </c>
      <c r="K136" s="21"/>
      <c r="L136" s="19">
        <v>80</v>
      </c>
      <c r="M136" s="19">
        <v>277</v>
      </c>
      <c r="N136" s="120">
        <v>6357.4</v>
      </c>
      <c r="O136" s="160">
        <v>5650.3</v>
      </c>
      <c r="P136" s="210">
        <f>3654.5-0.4+0.5-1.6-0.5+0.6-0.2-0.3-0.4</f>
        <v>3652.2</v>
      </c>
      <c r="Q136" s="24"/>
      <c r="R136" s="22"/>
      <c r="S136" s="22">
        <v>53.5</v>
      </c>
      <c r="T136" s="22">
        <v>30.9</v>
      </c>
      <c r="U136" s="22"/>
      <c r="V136" s="22">
        <v>563.1</v>
      </c>
      <c r="W136" s="22">
        <v>88.4</v>
      </c>
      <c r="X136" s="22">
        <f t="shared" si="29"/>
        <v>732.0300000000001</v>
      </c>
      <c r="Y136" s="58">
        <f t="shared" si="31"/>
        <v>527.618</v>
      </c>
      <c r="Z136" s="58">
        <f t="shared" si="30"/>
        <v>292.812</v>
      </c>
      <c r="AA136" s="24"/>
      <c r="AB136" s="42">
        <v>76.8</v>
      </c>
      <c r="AC136" s="175">
        <v>14</v>
      </c>
    </row>
    <row r="137" spans="1:29" ht="12.75">
      <c r="A137" s="209">
        <v>97</v>
      </c>
      <c r="B137" s="19">
        <v>1986</v>
      </c>
      <c r="C137" s="19" t="s">
        <v>74</v>
      </c>
      <c r="D137" s="27" t="s">
        <v>39</v>
      </c>
      <c r="E137" s="20" t="s">
        <v>35</v>
      </c>
      <c r="F137" s="21" t="s">
        <v>7</v>
      </c>
      <c r="G137" s="21">
        <v>8</v>
      </c>
      <c r="H137" s="21">
        <v>5</v>
      </c>
      <c r="I137" s="20">
        <v>1</v>
      </c>
      <c r="J137" s="21">
        <v>3</v>
      </c>
      <c r="K137" s="21"/>
      <c r="L137" s="19">
        <v>45</v>
      </c>
      <c r="M137" s="19">
        <v>123</v>
      </c>
      <c r="N137" s="120">
        <f t="shared" si="32"/>
        <v>2347.1</v>
      </c>
      <c r="O137" s="120">
        <v>2230</v>
      </c>
      <c r="P137" s="207">
        <v>1281</v>
      </c>
      <c r="Q137" s="24"/>
      <c r="R137" s="22"/>
      <c r="S137" s="22"/>
      <c r="T137" s="22"/>
      <c r="U137" s="22"/>
      <c r="V137" s="22">
        <v>83.9</v>
      </c>
      <c r="W137" s="22">
        <v>33.2</v>
      </c>
      <c r="X137" s="22">
        <f t="shared" si="29"/>
        <v>109.07000000000001</v>
      </c>
      <c r="Y137" s="58">
        <f t="shared" si="31"/>
        <v>98.64200000000001</v>
      </c>
      <c r="Z137" s="58">
        <f t="shared" si="30"/>
        <v>43.628</v>
      </c>
      <c r="AA137" s="24"/>
      <c r="AB137" s="42">
        <v>43.2</v>
      </c>
      <c r="AC137" s="175">
        <v>15</v>
      </c>
    </row>
    <row r="138" spans="1:29" ht="12.75">
      <c r="A138" s="209">
        <v>98</v>
      </c>
      <c r="B138" s="19">
        <v>1987</v>
      </c>
      <c r="C138" s="19" t="s">
        <v>60</v>
      </c>
      <c r="D138" s="27" t="s">
        <v>39</v>
      </c>
      <c r="E138" s="20" t="s">
        <v>75</v>
      </c>
      <c r="F138" s="21" t="s">
        <v>7</v>
      </c>
      <c r="G138" s="21">
        <v>8</v>
      </c>
      <c r="H138" s="21">
        <v>5</v>
      </c>
      <c r="I138" s="20">
        <v>1</v>
      </c>
      <c r="J138" s="21">
        <v>5</v>
      </c>
      <c r="K138" s="21"/>
      <c r="L138" s="19">
        <v>75</v>
      </c>
      <c r="M138" s="19">
        <v>220</v>
      </c>
      <c r="N138" s="120">
        <f t="shared" si="32"/>
        <v>4067.4</v>
      </c>
      <c r="O138" s="160">
        <v>3657.9</v>
      </c>
      <c r="P138" s="210">
        <f>2108.4+0.1+0.2-11.3+1.3</f>
        <v>2098.7</v>
      </c>
      <c r="Q138" s="24"/>
      <c r="R138" s="22"/>
      <c r="S138" s="22"/>
      <c r="T138" s="22"/>
      <c r="U138" s="22"/>
      <c r="V138" s="22">
        <v>355</v>
      </c>
      <c r="W138" s="22">
        <v>54.5</v>
      </c>
      <c r="X138" s="22">
        <f t="shared" si="29"/>
        <v>461.5</v>
      </c>
      <c r="Y138" s="58">
        <f t="shared" si="31"/>
        <v>331.4</v>
      </c>
      <c r="Z138" s="58">
        <f t="shared" si="30"/>
        <v>184.60000000000002</v>
      </c>
      <c r="AA138" s="24"/>
      <c r="AB138" s="42">
        <v>72</v>
      </c>
      <c r="AC138" s="175">
        <v>16</v>
      </c>
    </row>
    <row r="139" spans="1:29" ht="12.75">
      <c r="A139" s="209">
        <v>99</v>
      </c>
      <c r="B139" s="19">
        <v>1987</v>
      </c>
      <c r="C139" s="19" t="s">
        <v>60</v>
      </c>
      <c r="D139" s="27" t="s">
        <v>39</v>
      </c>
      <c r="E139" s="20">
        <v>38</v>
      </c>
      <c r="F139" s="21" t="s">
        <v>7</v>
      </c>
      <c r="G139" s="21">
        <v>8</v>
      </c>
      <c r="H139" s="21">
        <v>5</v>
      </c>
      <c r="I139" s="20">
        <v>1</v>
      </c>
      <c r="J139" s="21">
        <v>4</v>
      </c>
      <c r="K139" s="21"/>
      <c r="L139" s="19">
        <v>39</v>
      </c>
      <c r="M139" s="19">
        <v>164</v>
      </c>
      <c r="N139" s="120">
        <v>3153.5</v>
      </c>
      <c r="O139" s="120">
        <v>2766.3</v>
      </c>
      <c r="P139" s="207">
        <f>1787.1+0</f>
        <v>1787.1</v>
      </c>
      <c r="Q139" s="24"/>
      <c r="R139" s="22"/>
      <c r="S139" s="22"/>
      <c r="T139" s="22"/>
      <c r="U139" s="22"/>
      <c r="V139" s="22">
        <v>283</v>
      </c>
      <c r="W139" s="22">
        <v>44.4</v>
      </c>
      <c r="X139" s="22">
        <f t="shared" si="29"/>
        <v>367.90000000000003</v>
      </c>
      <c r="Y139" s="58">
        <f t="shared" si="31"/>
        <v>265.14000000000004</v>
      </c>
      <c r="Z139" s="58">
        <f t="shared" si="30"/>
        <v>147.15999999999997</v>
      </c>
      <c r="AA139" s="24"/>
      <c r="AB139" s="42">
        <v>38.4</v>
      </c>
      <c r="AC139" s="175">
        <v>17</v>
      </c>
    </row>
    <row r="140" spans="1:29" ht="12.75">
      <c r="A140" s="209">
        <v>100</v>
      </c>
      <c r="B140" s="19">
        <v>1986</v>
      </c>
      <c r="C140" s="19" t="s">
        <v>16</v>
      </c>
      <c r="D140" s="27" t="s">
        <v>39</v>
      </c>
      <c r="E140" s="20" t="s">
        <v>76</v>
      </c>
      <c r="F140" s="21" t="s">
        <v>7</v>
      </c>
      <c r="G140" s="21">
        <v>8</v>
      </c>
      <c r="H140" s="21">
        <v>5</v>
      </c>
      <c r="I140" s="20">
        <v>1</v>
      </c>
      <c r="J140" s="21">
        <v>7</v>
      </c>
      <c r="K140" s="21"/>
      <c r="L140" s="19">
        <v>95</v>
      </c>
      <c r="M140" s="19">
        <v>255</v>
      </c>
      <c r="N140" s="120">
        <v>5744.6</v>
      </c>
      <c r="O140" s="120">
        <v>4681.1</v>
      </c>
      <c r="P140" s="206">
        <f>2738.06-40+0.2-0.8-0.3-3.7</f>
        <v>2693.4599999999996</v>
      </c>
      <c r="Q140" s="24"/>
      <c r="R140" s="22"/>
      <c r="S140" s="53">
        <v>65</v>
      </c>
      <c r="T140" s="53">
        <v>40</v>
      </c>
      <c r="U140" s="22">
        <v>438.8</v>
      </c>
      <c r="V140" s="22">
        <v>495.1</v>
      </c>
      <c r="W140" s="22">
        <v>92.8</v>
      </c>
      <c r="X140" s="22">
        <f t="shared" si="29"/>
        <v>643.63</v>
      </c>
      <c r="Y140" s="58">
        <f t="shared" si="31"/>
        <v>478.978</v>
      </c>
      <c r="Z140" s="58">
        <f t="shared" si="30"/>
        <v>257.45199999999994</v>
      </c>
      <c r="AA140" s="90"/>
      <c r="AB140" s="89">
        <v>100.8</v>
      </c>
      <c r="AC140" s="175">
        <v>18</v>
      </c>
    </row>
    <row r="141" spans="1:29" ht="12.75">
      <c r="A141" s="209">
        <v>101</v>
      </c>
      <c r="B141" s="19">
        <v>1987</v>
      </c>
      <c r="C141" s="19" t="s">
        <v>16</v>
      </c>
      <c r="D141" s="27" t="s">
        <v>39</v>
      </c>
      <c r="E141" s="20" t="s">
        <v>77</v>
      </c>
      <c r="F141" s="21" t="s">
        <v>7</v>
      </c>
      <c r="G141" s="21">
        <v>8</v>
      </c>
      <c r="H141" s="21">
        <v>5</v>
      </c>
      <c r="I141" s="20">
        <v>1</v>
      </c>
      <c r="J141" s="21">
        <v>4</v>
      </c>
      <c r="K141" s="21"/>
      <c r="L141" s="19">
        <v>60</v>
      </c>
      <c r="M141" s="19">
        <v>160</v>
      </c>
      <c r="N141" s="120">
        <f t="shared" si="32"/>
        <v>3294.2</v>
      </c>
      <c r="O141" s="160">
        <v>2969</v>
      </c>
      <c r="P141" s="210">
        <f>1714.1+0-0.1-0.6</f>
        <v>1713.4</v>
      </c>
      <c r="Q141" s="24"/>
      <c r="R141" s="22"/>
      <c r="S141" s="22"/>
      <c r="T141" s="22"/>
      <c r="U141" s="22"/>
      <c r="V141" s="22">
        <v>280.6</v>
      </c>
      <c r="W141" s="22">
        <v>44.6</v>
      </c>
      <c r="X141" s="22">
        <f t="shared" si="29"/>
        <v>364.78000000000003</v>
      </c>
      <c r="Y141" s="58">
        <f t="shared" si="31"/>
        <v>263.468</v>
      </c>
      <c r="Z141" s="58">
        <f t="shared" si="30"/>
        <v>145.91200000000003</v>
      </c>
      <c r="AA141" s="24"/>
      <c r="AB141" s="42">
        <v>57.6</v>
      </c>
      <c r="AC141" s="175">
        <v>19</v>
      </c>
    </row>
    <row r="142" spans="1:29" ht="12.75">
      <c r="A142" s="209">
        <v>102</v>
      </c>
      <c r="B142" s="19">
        <v>1987</v>
      </c>
      <c r="C142" s="19" t="s">
        <v>78</v>
      </c>
      <c r="D142" s="27" t="s">
        <v>39</v>
      </c>
      <c r="E142" s="20" t="s">
        <v>79</v>
      </c>
      <c r="F142" s="21" t="s">
        <v>7</v>
      </c>
      <c r="G142" s="21">
        <v>8</v>
      </c>
      <c r="H142" s="21">
        <v>5</v>
      </c>
      <c r="I142" s="20">
        <v>1</v>
      </c>
      <c r="J142" s="21">
        <v>7</v>
      </c>
      <c r="K142" s="21"/>
      <c r="L142" s="19">
        <v>105</v>
      </c>
      <c r="M142" s="19">
        <v>246</v>
      </c>
      <c r="N142" s="120">
        <f t="shared" si="32"/>
        <v>5764.4</v>
      </c>
      <c r="O142" s="120">
        <v>5193</v>
      </c>
      <c r="P142" s="210">
        <f>2980.3-0.2-0.1</f>
        <v>2980.0000000000005</v>
      </c>
      <c r="Q142" s="24"/>
      <c r="R142" s="22"/>
      <c r="S142" s="22"/>
      <c r="T142" s="22"/>
      <c r="U142" s="22"/>
      <c r="V142" s="22">
        <v>492.7</v>
      </c>
      <c r="W142" s="22">
        <v>78.7</v>
      </c>
      <c r="X142" s="22">
        <f t="shared" si="29"/>
        <v>640.51</v>
      </c>
      <c r="Y142" s="58">
        <f t="shared" si="31"/>
        <v>463.00600000000003</v>
      </c>
      <c r="Z142" s="58">
        <f t="shared" si="30"/>
        <v>256.204</v>
      </c>
      <c r="AA142" s="24"/>
      <c r="AB142" s="42">
        <v>100.8</v>
      </c>
      <c r="AC142" s="175">
        <v>20</v>
      </c>
    </row>
    <row r="143" spans="1:29" ht="12.75">
      <c r="A143" s="209">
        <v>103</v>
      </c>
      <c r="B143" s="19">
        <v>1987</v>
      </c>
      <c r="C143" s="19" t="s">
        <v>60</v>
      </c>
      <c r="D143" s="27" t="s">
        <v>39</v>
      </c>
      <c r="E143" s="20" t="s">
        <v>197</v>
      </c>
      <c r="F143" s="21" t="s">
        <v>7</v>
      </c>
      <c r="G143" s="21">
        <v>8</v>
      </c>
      <c r="H143" s="21">
        <v>5</v>
      </c>
      <c r="I143" s="20">
        <v>1</v>
      </c>
      <c r="J143" s="21">
        <v>5</v>
      </c>
      <c r="K143" s="21"/>
      <c r="L143" s="19">
        <v>49</v>
      </c>
      <c r="M143" s="19">
        <v>184</v>
      </c>
      <c r="N143" s="120">
        <v>3916.2</v>
      </c>
      <c r="O143" s="120">
        <v>3460.2</v>
      </c>
      <c r="P143" s="207">
        <f>2212.7-0.1-30.5-3.8</f>
        <v>2178.2999999999997</v>
      </c>
      <c r="Q143" s="24"/>
      <c r="R143" s="22"/>
      <c r="S143" s="22">
        <f>79.6+52.4</f>
        <v>132</v>
      </c>
      <c r="T143" s="22">
        <f>59.8+36.4</f>
        <v>96.19999999999999</v>
      </c>
      <c r="U143" s="22"/>
      <c r="V143" s="22">
        <v>348.5</v>
      </c>
      <c r="W143" s="22">
        <v>55.1</v>
      </c>
      <c r="X143" s="22">
        <f t="shared" si="29"/>
        <v>453.05</v>
      </c>
      <c r="Y143" s="58">
        <f t="shared" si="31"/>
        <v>326.93</v>
      </c>
      <c r="Z143" s="58">
        <f t="shared" si="30"/>
        <v>181.22000000000003</v>
      </c>
      <c r="AA143" s="90"/>
      <c r="AB143" s="89">
        <v>48</v>
      </c>
      <c r="AC143" s="175">
        <v>21</v>
      </c>
    </row>
    <row r="144" spans="1:29" ht="12.75">
      <c r="A144" s="209">
        <v>104</v>
      </c>
      <c r="B144" s="19">
        <v>1987</v>
      </c>
      <c r="C144" s="19" t="s">
        <v>60</v>
      </c>
      <c r="D144" s="27" t="s">
        <v>39</v>
      </c>
      <c r="E144" s="20" t="s">
        <v>80</v>
      </c>
      <c r="F144" s="21" t="s">
        <v>7</v>
      </c>
      <c r="G144" s="21">
        <v>8</v>
      </c>
      <c r="H144" s="21">
        <v>5</v>
      </c>
      <c r="I144" s="20">
        <v>1</v>
      </c>
      <c r="J144" s="21">
        <v>7</v>
      </c>
      <c r="K144" s="21"/>
      <c r="L144" s="19">
        <v>105</v>
      </c>
      <c r="M144" s="19">
        <v>285</v>
      </c>
      <c r="N144" s="120">
        <f t="shared" si="32"/>
        <v>5754.4</v>
      </c>
      <c r="O144" s="120">
        <v>5170.6</v>
      </c>
      <c r="P144" s="210">
        <f>2979.5-0.5-0.7-0.2-0.1</f>
        <v>2978.0000000000005</v>
      </c>
      <c r="Q144" s="24"/>
      <c r="R144" s="22"/>
      <c r="S144" s="22"/>
      <c r="T144" s="22"/>
      <c r="U144" s="22"/>
      <c r="V144" s="22">
        <v>493.4</v>
      </c>
      <c r="W144" s="22">
        <v>90.4</v>
      </c>
      <c r="X144" s="22">
        <f t="shared" si="29"/>
        <v>641.42</v>
      </c>
      <c r="Y144" s="58">
        <f t="shared" si="31"/>
        <v>475.25199999999995</v>
      </c>
      <c r="Z144" s="58">
        <f t="shared" si="30"/>
        <v>256.568</v>
      </c>
      <c r="AA144" s="24"/>
      <c r="AB144" s="42">
        <v>100.8</v>
      </c>
      <c r="AC144" s="175">
        <v>22</v>
      </c>
    </row>
    <row r="145" spans="1:29" ht="12.75">
      <c r="A145" s="209">
        <v>105</v>
      </c>
      <c r="B145" s="19">
        <v>1987</v>
      </c>
      <c r="C145" s="19" t="s">
        <v>60</v>
      </c>
      <c r="D145" s="27" t="s">
        <v>39</v>
      </c>
      <c r="E145" s="20" t="s">
        <v>81</v>
      </c>
      <c r="F145" s="21" t="s">
        <v>7</v>
      </c>
      <c r="G145" s="21">
        <v>8</v>
      </c>
      <c r="H145" s="21">
        <v>5</v>
      </c>
      <c r="I145" s="20">
        <v>1</v>
      </c>
      <c r="J145" s="21">
        <v>3</v>
      </c>
      <c r="K145" s="21"/>
      <c r="L145" s="19">
        <v>45</v>
      </c>
      <c r="M145" s="19">
        <v>125</v>
      </c>
      <c r="N145" s="120">
        <f t="shared" si="32"/>
        <v>2469.3</v>
      </c>
      <c r="O145" s="120">
        <v>2225.3</v>
      </c>
      <c r="P145" s="207">
        <v>1281.6</v>
      </c>
      <c r="Q145" s="24"/>
      <c r="R145" s="22"/>
      <c r="S145" s="22"/>
      <c r="T145" s="22"/>
      <c r="U145" s="22"/>
      <c r="V145" s="22">
        <v>210.7</v>
      </c>
      <c r="W145" s="22">
        <v>33.3</v>
      </c>
      <c r="X145" s="22">
        <f t="shared" si="29"/>
        <v>273.90999999999997</v>
      </c>
      <c r="Y145" s="58">
        <f t="shared" si="31"/>
        <v>197.64600000000002</v>
      </c>
      <c r="Z145" s="58">
        <f t="shared" si="30"/>
        <v>109.56399999999996</v>
      </c>
      <c r="AA145" s="24"/>
      <c r="AB145" s="42">
        <v>43.2</v>
      </c>
      <c r="AC145" s="175">
        <v>23</v>
      </c>
    </row>
    <row r="146" spans="1:29" ht="12.75">
      <c r="A146" s="209">
        <v>106</v>
      </c>
      <c r="B146" s="19">
        <v>1987</v>
      </c>
      <c r="C146" s="19" t="s">
        <v>60</v>
      </c>
      <c r="D146" s="27" t="s">
        <v>82</v>
      </c>
      <c r="E146" s="20">
        <v>3</v>
      </c>
      <c r="F146" s="21" t="s">
        <v>7</v>
      </c>
      <c r="G146" s="21">
        <v>8</v>
      </c>
      <c r="H146" s="21">
        <v>5</v>
      </c>
      <c r="I146" s="20">
        <v>1</v>
      </c>
      <c r="J146" s="21">
        <v>6</v>
      </c>
      <c r="K146" s="21"/>
      <c r="L146" s="19">
        <f>90-1-1</f>
        <v>88</v>
      </c>
      <c r="M146" s="19">
        <v>230</v>
      </c>
      <c r="N146" s="120">
        <v>5014.4</v>
      </c>
      <c r="O146" s="120">
        <v>4402.6</v>
      </c>
      <c r="P146" s="210">
        <f>2589.7-2.4-17.7-29.2</f>
        <v>2540.4</v>
      </c>
      <c r="Q146" s="24"/>
      <c r="R146" s="22"/>
      <c r="S146" s="22">
        <f>46.5+48.1</f>
        <v>94.6</v>
      </c>
      <c r="T146" s="22">
        <f>17.7+29.2</f>
        <v>46.9</v>
      </c>
      <c r="U146" s="22"/>
      <c r="V146" s="22">
        <v>427.1</v>
      </c>
      <c r="W146" s="22">
        <v>97.9</v>
      </c>
      <c r="X146" s="22">
        <f t="shared" si="29"/>
        <v>555.23</v>
      </c>
      <c r="Y146" s="58">
        <f t="shared" si="31"/>
        <v>431.038</v>
      </c>
      <c r="Z146" s="58">
        <f t="shared" si="30"/>
        <v>222.09199999999998</v>
      </c>
      <c r="AA146" s="24"/>
      <c r="AB146" s="42">
        <v>86.4</v>
      </c>
      <c r="AC146">
        <v>24</v>
      </c>
    </row>
    <row r="147" spans="1:29" ht="12.75">
      <c r="A147" s="209">
        <v>107</v>
      </c>
      <c r="B147" s="19">
        <v>1987</v>
      </c>
      <c r="C147" s="19" t="s">
        <v>78</v>
      </c>
      <c r="D147" s="27" t="s">
        <v>82</v>
      </c>
      <c r="E147" s="20">
        <v>7</v>
      </c>
      <c r="F147" s="21" t="s">
        <v>7</v>
      </c>
      <c r="G147" s="21">
        <v>8</v>
      </c>
      <c r="H147" s="21">
        <v>5</v>
      </c>
      <c r="I147" s="20">
        <v>1</v>
      </c>
      <c r="J147" s="21">
        <v>9</v>
      </c>
      <c r="K147" s="21"/>
      <c r="L147" s="19">
        <v>135</v>
      </c>
      <c r="M147" s="19">
        <v>333</v>
      </c>
      <c r="N147" s="120">
        <v>7475.2</v>
      </c>
      <c r="O147" s="120">
        <v>6610.8</v>
      </c>
      <c r="P147" s="210">
        <f>3795.7-0.1+0.9</f>
        <v>3796.5</v>
      </c>
      <c r="Q147" s="24"/>
      <c r="R147" s="22"/>
      <c r="S147" s="22"/>
      <c r="T147" s="22"/>
      <c r="U147" s="22"/>
      <c r="V147" s="22">
        <v>634.7</v>
      </c>
      <c r="W147" s="22">
        <v>108.9</v>
      </c>
      <c r="X147" s="22">
        <f t="shared" si="29"/>
        <v>825.1100000000001</v>
      </c>
      <c r="Y147" s="58">
        <f t="shared" si="31"/>
        <v>603.966</v>
      </c>
      <c r="Z147" s="58">
        <f t="shared" si="30"/>
        <v>330.0440000000001</v>
      </c>
      <c r="AA147" s="24"/>
      <c r="AB147" s="42">
        <v>129.6</v>
      </c>
      <c r="AC147" s="175">
        <v>25</v>
      </c>
    </row>
    <row r="148" spans="1:29" ht="12.75">
      <c r="A148" s="209">
        <v>108</v>
      </c>
      <c r="B148" s="19">
        <v>1987</v>
      </c>
      <c r="C148" s="19" t="s">
        <v>78</v>
      </c>
      <c r="D148" s="27" t="s">
        <v>82</v>
      </c>
      <c r="E148" s="20" t="s">
        <v>83</v>
      </c>
      <c r="F148" s="21" t="s">
        <v>7</v>
      </c>
      <c r="G148" s="21">
        <v>8</v>
      </c>
      <c r="H148" s="21">
        <v>5</v>
      </c>
      <c r="I148" s="20">
        <v>1</v>
      </c>
      <c r="J148" s="21">
        <v>4</v>
      </c>
      <c r="K148" s="21"/>
      <c r="L148" s="19">
        <v>60</v>
      </c>
      <c r="M148" s="19">
        <v>126</v>
      </c>
      <c r="N148" s="120">
        <f t="shared" si="32"/>
        <v>3198.7999999999997</v>
      </c>
      <c r="O148" s="120">
        <f>2931+0.1-0.4+0.2</f>
        <v>2930.8999999999996</v>
      </c>
      <c r="P148" s="210">
        <f>1697.5+0.2-0.2+0.2</f>
        <v>1697.7</v>
      </c>
      <c r="Q148" s="24"/>
      <c r="R148" s="22"/>
      <c r="S148" s="22"/>
      <c r="T148" s="22"/>
      <c r="U148" s="22"/>
      <c r="V148" s="22">
        <v>224</v>
      </c>
      <c r="W148" s="22">
        <v>43.9</v>
      </c>
      <c r="X148" s="22">
        <f t="shared" si="29"/>
        <v>291.2</v>
      </c>
      <c r="Y148" s="58">
        <f t="shared" si="31"/>
        <v>218.61999999999998</v>
      </c>
      <c r="Z148" s="58">
        <f t="shared" si="30"/>
        <v>116.47999999999999</v>
      </c>
      <c r="AA148" s="24"/>
      <c r="AB148" s="42">
        <v>57.6</v>
      </c>
      <c r="AC148" s="175">
        <v>26</v>
      </c>
    </row>
    <row r="149" spans="1:29" ht="12.75">
      <c r="A149" s="209">
        <v>109</v>
      </c>
      <c r="B149" s="19">
        <v>1987</v>
      </c>
      <c r="C149" s="19" t="s">
        <v>78</v>
      </c>
      <c r="D149" s="27" t="s">
        <v>82</v>
      </c>
      <c r="E149" s="20" t="s">
        <v>84</v>
      </c>
      <c r="F149" s="21" t="s">
        <v>7</v>
      </c>
      <c r="G149" s="21">
        <v>8</v>
      </c>
      <c r="H149" s="21">
        <v>5</v>
      </c>
      <c r="I149" s="20">
        <v>1</v>
      </c>
      <c r="J149" s="21">
        <v>5</v>
      </c>
      <c r="K149" s="21"/>
      <c r="L149" s="19">
        <v>75</v>
      </c>
      <c r="M149" s="19">
        <v>199</v>
      </c>
      <c r="N149" s="120">
        <f t="shared" si="32"/>
        <v>4074</v>
      </c>
      <c r="O149" s="120">
        <v>3673</v>
      </c>
      <c r="P149" s="210">
        <f>2116.7-0.1+0.5-0.1+0.2</f>
        <v>2117.2</v>
      </c>
      <c r="Q149" s="24"/>
      <c r="R149" s="22"/>
      <c r="S149" s="22"/>
      <c r="T149" s="22"/>
      <c r="U149" s="22"/>
      <c r="V149" s="22">
        <v>346</v>
      </c>
      <c r="W149" s="22">
        <v>55</v>
      </c>
      <c r="X149" s="22">
        <f t="shared" si="29"/>
        <v>449.8</v>
      </c>
      <c r="Y149" s="58">
        <f t="shared" si="31"/>
        <v>324.88</v>
      </c>
      <c r="Z149" s="58">
        <f t="shared" si="30"/>
        <v>179.92000000000002</v>
      </c>
      <c r="AA149" s="24"/>
      <c r="AB149" s="42">
        <v>72</v>
      </c>
      <c r="AC149" s="175">
        <v>27</v>
      </c>
    </row>
    <row r="150" spans="1:29" ht="12.75">
      <c r="A150" s="209">
        <v>110</v>
      </c>
      <c r="B150" s="19">
        <v>1987</v>
      </c>
      <c r="C150" s="19" t="s">
        <v>78</v>
      </c>
      <c r="D150" s="27" t="s">
        <v>82</v>
      </c>
      <c r="E150" s="20" t="s">
        <v>85</v>
      </c>
      <c r="F150" s="21" t="s">
        <v>7</v>
      </c>
      <c r="G150" s="21">
        <v>8</v>
      </c>
      <c r="H150" s="21">
        <v>5</v>
      </c>
      <c r="I150" s="20">
        <v>1</v>
      </c>
      <c r="J150" s="21">
        <v>5</v>
      </c>
      <c r="K150" s="21"/>
      <c r="L150" s="19">
        <v>50</v>
      </c>
      <c r="M150" s="19">
        <v>202</v>
      </c>
      <c r="N150" s="120">
        <f t="shared" si="32"/>
        <v>3949.2</v>
      </c>
      <c r="O150" s="120">
        <v>3523.7</v>
      </c>
      <c r="P150" s="210">
        <f>2269.3+0.7+1+1</f>
        <v>2272</v>
      </c>
      <c r="Q150" s="24"/>
      <c r="R150" s="22"/>
      <c r="S150" s="22"/>
      <c r="T150" s="22"/>
      <c r="U150" s="22"/>
      <c r="V150" s="22">
        <v>370</v>
      </c>
      <c r="W150" s="22">
        <v>55.5</v>
      </c>
      <c r="X150" s="22">
        <f t="shared" si="29"/>
        <v>481</v>
      </c>
      <c r="Y150" s="58">
        <f t="shared" si="31"/>
        <v>344.1</v>
      </c>
      <c r="Z150" s="58">
        <f t="shared" si="30"/>
        <v>192.39999999999998</v>
      </c>
      <c r="AA150" s="90"/>
      <c r="AB150" s="89">
        <v>48</v>
      </c>
      <c r="AC150" s="175">
        <v>28</v>
      </c>
    </row>
    <row r="151" spans="1:29" ht="12.75">
      <c r="A151" s="209">
        <v>111</v>
      </c>
      <c r="B151" s="19">
        <v>1994</v>
      </c>
      <c r="C151" s="19" t="s">
        <v>78</v>
      </c>
      <c r="D151" s="27" t="s">
        <v>82</v>
      </c>
      <c r="E151" s="20">
        <v>11</v>
      </c>
      <c r="F151" s="21" t="s">
        <v>7</v>
      </c>
      <c r="G151" s="21">
        <v>8</v>
      </c>
      <c r="H151" s="21">
        <v>5</v>
      </c>
      <c r="I151" s="20">
        <v>1</v>
      </c>
      <c r="J151" s="21">
        <v>9</v>
      </c>
      <c r="K151" s="21"/>
      <c r="L151" s="19">
        <v>135</v>
      </c>
      <c r="M151" s="19">
        <v>301</v>
      </c>
      <c r="N151" s="120">
        <f t="shared" si="32"/>
        <v>7345.7</v>
      </c>
      <c r="O151" s="120">
        <v>6607.1</v>
      </c>
      <c r="P151" s="210">
        <f>3797.8+0.3-0.3</f>
        <v>3797.8</v>
      </c>
      <c r="Q151" s="24"/>
      <c r="R151" s="22"/>
      <c r="S151" s="22"/>
      <c r="T151" s="22"/>
      <c r="U151" s="22"/>
      <c r="V151" s="22">
        <v>630.7</v>
      </c>
      <c r="W151" s="22">
        <v>107.9</v>
      </c>
      <c r="X151" s="22">
        <f t="shared" si="29"/>
        <v>819.9100000000001</v>
      </c>
      <c r="Y151" s="58">
        <f t="shared" si="31"/>
        <v>599.8460000000001</v>
      </c>
      <c r="Z151" s="58">
        <f t="shared" si="30"/>
        <v>327.96399999999994</v>
      </c>
      <c r="AA151" s="24"/>
      <c r="AB151" s="42">
        <v>129.6</v>
      </c>
      <c r="AC151" s="175">
        <v>29</v>
      </c>
    </row>
    <row r="152" spans="1:29" ht="12.75">
      <c r="A152" s="209">
        <v>112</v>
      </c>
      <c r="B152" s="19">
        <v>1987</v>
      </c>
      <c r="C152" s="19" t="s">
        <v>60</v>
      </c>
      <c r="D152" s="27" t="s">
        <v>6</v>
      </c>
      <c r="E152" s="20" t="s">
        <v>86</v>
      </c>
      <c r="F152" s="21" t="s">
        <v>7</v>
      </c>
      <c r="G152" s="21">
        <v>8</v>
      </c>
      <c r="H152" s="21">
        <v>5</v>
      </c>
      <c r="I152" s="20">
        <v>1</v>
      </c>
      <c r="J152" s="21">
        <v>5</v>
      </c>
      <c r="K152" s="21"/>
      <c r="L152" s="19">
        <v>75</v>
      </c>
      <c r="M152" s="19">
        <v>170</v>
      </c>
      <c r="N152" s="120">
        <f t="shared" si="32"/>
        <v>4093.5</v>
      </c>
      <c r="O152" s="120">
        <v>3690.9</v>
      </c>
      <c r="P152" s="210">
        <f>2119-0.5-0.2</f>
        <v>2118.3</v>
      </c>
      <c r="Q152" s="24"/>
      <c r="R152" s="22"/>
      <c r="S152" s="22"/>
      <c r="T152" s="22"/>
      <c r="U152" s="22"/>
      <c r="V152" s="22">
        <v>348</v>
      </c>
      <c r="W152" s="22">
        <v>54.6</v>
      </c>
      <c r="X152" s="22">
        <f t="shared" si="29"/>
        <v>452.40000000000003</v>
      </c>
      <c r="Y152" s="58">
        <f t="shared" si="31"/>
        <v>326.04</v>
      </c>
      <c r="Z152" s="58">
        <f t="shared" si="30"/>
        <v>180.96000000000004</v>
      </c>
      <c r="AA152" s="90"/>
      <c r="AB152" s="89">
        <v>72</v>
      </c>
      <c r="AC152" s="175">
        <v>30</v>
      </c>
    </row>
    <row r="153" spans="1:29" ht="12.75">
      <c r="A153" s="209">
        <v>113</v>
      </c>
      <c r="B153" s="19">
        <v>1987</v>
      </c>
      <c r="C153" s="19" t="s">
        <v>60</v>
      </c>
      <c r="D153" s="27" t="s">
        <v>6</v>
      </c>
      <c r="E153" s="20">
        <v>39</v>
      </c>
      <c r="F153" s="21" t="s">
        <v>7</v>
      </c>
      <c r="G153" s="21">
        <v>8</v>
      </c>
      <c r="H153" s="21">
        <v>5</v>
      </c>
      <c r="I153" s="20">
        <v>1</v>
      </c>
      <c r="J153" s="21">
        <v>5</v>
      </c>
      <c r="K153" s="21"/>
      <c r="L153" s="19">
        <v>60</v>
      </c>
      <c r="M153" s="19">
        <v>160</v>
      </c>
      <c r="N153" s="120">
        <v>4165.3</v>
      </c>
      <c r="O153" s="120">
        <v>2997.6</v>
      </c>
      <c r="P153" s="207">
        <v>1745.6</v>
      </c>
      <c r="Q153" s="24"/>
      <c r="R153" s="22"/>
      <c r="S153" s="22"/>
      <c r="T153" s="22"/>
      <c r="U153" s="22">
        <v>691.4</v>
      </c>
      <c r="V153" s="22">
        <v>347</v>
      </c>
      <c r="W153" s="22">
        <v>65.7</v>
      </c>
      <c r="X153" s="22">
        <f t="shared" si="29"/>
        <v>451.1</v>
      </c>
      <c r="Y153" s="58">
        <f t="shared" si="31"/>
        <v>336.35999999999996</v>
      </c>
      <c r="Z153" s="58">
        <f t="shared" si="30"/>
        <v>180.4400000000001</v>
      </c>
      <c r="AA153" s="24"/>
      <c r="AB153" s="42">
        <v>57.6</v>
      </c>
      <c r="AC153" s="175">
        <v>31</v>
      </c>
    </row>
    <row r="154" spans="1:29" ht="13.5" thickBot="1">
      <c r="A154" s="209">
        <v>114</v>
      </c>
      <c r="B154" s="19">
        <v>1994</v>
      </c>
      <c r="C154" s="19" t="s">
        <v>16</v>
      </c>
      <c r="D154" s="27" t="s">
        <v>6</v>
      </c>
      <c r="E154" s="20">
        <v>35</v>
      </c>
      <c r="F154" s="27" t="s">
        <v>164</v>
      </c>
      <c r="G154" s="20">
        <v>2</v>
      </c>
      <c r="H154" s="20">
        <v>9</v>
      </c>
      <c r="I154" s="20">
        <v>1</v>
      </c>
      <c r="J154" s="20">
        <v>1</v>
      </c>
      <c r="K154" s="20"/>
      <c r="L154" s="19">
        <v>36</v>
      </c>
      <c r="M154" s="19">
        <v>80</v>
      </c>
      <c r="N154" s="120">
        <f t="shared" si="32"/>
        <v>2305.62</v>
      </c>
      <c r="O154" s="120">
        <v>1980.8</v>
      </c>
      <c r="P154" s="206">
        <f>1200.4-0.9-0.6+0.2+3.7+0</f>
        <v>1202.8000000000002</v>
      </c>
      <c r="Q154" s="24"/>
      <c r="R154" s="22"/>
      <c r="S154" s="22"/>
      <c r="T154" s="22"/>
      <c r="U154" s="22"/>
      <c r="V154" s="22">
        <v>123.12</v>
      </c>
      <c r="W154" s="22">
        <v>201.7</v>
      </c>
      <c r="X154" s="58">
        <f t="shared" si="29"/>
        <v>160.056</v>
      </c>
      <c r="Y154" s="58">
        <f>W154/H154*4+X154/H154*4</f>
        <v>160.78044444444447</v>
      </c>
      <c r="Z154" s="58">
        <f t="shared" si="30"/>
        <v>200.9755555555555</v>
      </c>
      <c r="AA154" s="90"/>
      <c r="AB154" s="89">
        <v>108.9</v>
      </c>
      <c r="AC154" s="175">
        <v>32</v>
      </c>
    </row>
    <row r="155" spans="1:28" ht="13.5" thickBot="1">
      <c r="A155" s="205"/>
      <c r="B155" s="143"/>
      <c r="C155" s="143"/>
      <c r="D155" s="164" t="s">
        <v>206</v>
      </c>
      <c r="E155" s="158"/>
      <c r="F155" s="158"/>
      <c r="G155" s="158"/>
      <c r="H155" s="158"/>
      <c r="I155" s="224">
        <f aca="true" t="shared" si="33" ref="I155:P155">SUM(I123:I154)</f>
        <v>32</v>
      </c>
      <c r="J155" s="224">
        <f t="shared" si="33"/>
        <v>163</v>
      </c>
      <c r="K155" s="224">
        <f t="shared" si="33"/>
        <v>0</v>
      </c>
      <c r="L155" s="224">
        <f t="shared" si="33"/>
        <v>2624</v>
      </c>
      <c r="M155" s="224">
        <f t="shared" si="33"/>
        <v>7504</v>
      </c>
      <c r="N155" s="237">
        <f t="shared" si="33"/>
        <v>156656.56999999998</v>
      </c>
      <c r="O155" s="237">
        <f t="shared" si="33"/>
        <v>134818.8</v>
      </c>
      <c r="P155" s="236">
        <f t="shared" si="33"/>
        <v>79066.16</v>
      </c>
      <c r="Q155" s="192">
        <f aca="true" t="shared" si="34" ref="Q155:AA155">SUM(Q123:Q154)</f>
        <v>80.3</v>
      </c>
      <c r="R155" s="192">
        <f t="shared" si="34"/>
        <v>52.6</v>
      </c>
      <c r="S155" s="192">
        <f t="shared" si="34"/>
        <v>749</v>
      </c>
      <c r="T155" s="192">
        <f t="shared" si="34"/>
        <v>452.79999999999995</v>
      </c>
      <c r="U155" s="192">
        <f t="shared" si="34"/>
        <v>1436.6</v>
      </c>
      <c r="V155" s="192">
        <f t="shared" si="34"/>
        <v>11601.830000000002</v>
      </c>
      <c r="W155" s="192">
        <f t="shared" si="34"/>
        <v>7509.999999999997</v>
      </c>
      <c r="X155" s="192">
        <f t="shared" si="34"/>
        <v>15082.378999999999</v>
      </c>
      <c r="Y155" s="192">
        <f t="shared" si="34"/>
        <v>13282.276911111116</v>
      </c>
      <c r="Z155" s="192">
        <f t="shared" si="34"/>
        <v>9310.102088888885</v>
      </c>
      <c r="AA155" s="192">
        <f t="shared" si="34"/>
        <v>0</v>
      </c>
      <c r="AB155" s="87" t="e">
        <f>SUM(AB123:AB154,#REF!)</f>
        <v>#REF!</v>
      </c>
    </row>
    <row r="156" spans="1:28" ht="12.75">
      <c r="A156" s="205"/>
      <c r="B156" s="19"/>
      <c r="C156" s="19"/>
      <c r="D156" s="20" t="s">
        <v>88</v>
      </c>
      <c r="E156" s="21"/>
      <c r="F156" s="21"/>
      <c r="G156" s="21"/>
      <c r="H156" s="21"/>
      <c r="I156" s="21"/>
      <c r="J156" s="21"/>
      <c r="K156" s="21"/>
      <c r="L156" s="22"/>
      <c r="M156" s="22"/>
      <c r="N156" s="120"/>
      <c r="O156" s="120"/>
      <c r="P156" s="206"/>
      <c r="Q156" s="24"/>
      <c r="R156" s="22"/>
      <c r="S156" s="22"/>
      <c r="T156" s="22"/>
      <c r="U156" s="22"/>
      <c r="V156" s="22"/>
      <c r="W156" s="22"/>
      <c r="X156" s="121"/>
      <c r="Y156" s="121"/>
      <c r="Z156" s="121"/>
      <c r="AA156" s="92"/>
      <c r="AB156" s="18"/>
    </row>
    <row r="157" spans="1:29" ht="12.75">
      <c r="A157" s="205">
        <v>115</v>
      </c>
      <c r="B157" s="19">
        <v>1990</v>
      </c>
      <c r="C157" s="19" t="s">
        <v>16</v>
      </c>
      <c r="D157" s="27" t="s">
        <v>89</v>
      </c>
      <c r="E157" s="20">
        <v>3</v>
      </c>
      <c r="F157" s="21" t="s">
        <v>7</v>
      </c>
      <c r="G157" s="21">
        <v>8</v>
      </c>
      <c r="H157" s="21">
        <v>5</v>
      </c>
      <c r="I157" s="21">
        <v>1</v>
      </c>
      <c r="J157" s="21">
        <v>3</v>
      </c>
      <c r="K157" s="21"/>
      <c r="L157" s="21">
        <v>30</v>
      </c>
      <c r="M157" s="21">
        <v>116</v>
      </c>
      <c r="N157" s="120">
        <v>2349.1</v>
      </c>
      <c r="O157" s="120">
        <v>2125.3</v>
      </c>
      <c r="P157" s="206">
        <f>1363.5-0.6</f>
        <v>1362.9</v>
      </c>
      <c r="Q157" s="24"/>
      <c r="R157" s="22"/>
      <c r="S157" s="22"/>
      <c r="T157" s="22"/>
      <c r="U157" s="22"/>
      <c r="V157" s="22">
        <v>190.5</v>
      </c>
      <c r="W157" s="22">
        <v>33.3</v>
      </c>
      <c r="X157" s="22">
        <f>V157*1.3</f>
        <v>247.65</v>
      </c>
      <c r="Y157" s="58">
        <f aca="true" t="shared" si="35" ref="Y157:Y162">X157/H157*3+W157</f>
        <v>181.89</v>
      </c>
      <c r="Z157" s="58">
        <f aca="true" t="shared" si="36" ref="Z157:Z173">W157+X157-Y157</f>
        <v>99.06</v>
      </c>
      <c r="AA157" s="23"/>
      <c r="AB157" s="39">
        <v>50.4</v>
      </c>
      <c r="AC157" s="175">
        <v>1</v>
      </c>
    </row>
    <row r="158" spans="1:29" ht="12.75">
      <c r="A158" s="205">
        <v>116</v>
      </c>
      <c r="B158" s="19">
        <v>1991</v>
      </c>
      <c r="C158" s="19" t="s">
        <v>16</v>
      </c>
      <c r="D158" s="27" t="s">
        <v>89</v>
      </c>
      <c r="E158" s="20" t="s">
        <v>90</v>
      </c>
      <c r="F158" s="21" t="s">
        <v>7</v>
      </c>
      <c r="G158" s="21">
        <v>8</v>
      </c>
      <c r="H158" s="21">
        <v>5</v>
      </c>
      <c r="I158" s="21">
        <v>1</v>
      </c>
      <c r="J158" s="21">
        <v>3</v>
      </c>
      <c r="K158" s="21"/>
      <c r="L158" s="21">
        <v>30</v>
      </c>
      <c r="M158" s="21">
        <v>103</v>
      </c>
      <c r="N158" s="120">
        <f aca="true" t="shared" si="37" ref="N158:N178">O158+Q158+S158+U158+V158+W158</f>
        <v>2363.6</v>
      </c>
      <c r="O158" s="120">
        <v>2120.4</v>
      </c>
      <c r="P158" s="206">
        <v>1370.1</v>
      </c>
      <c r="Q158" s="24"/>
      <c r="R158" s="22"/>
      <c r="S158" s="22"/>
      <c r="T158" s="22"/>
      <c r="U158" s="22"/>
      <c r="V158" s="22">
        <v>209.5</v>
      </c>
      <c r="W158" s="22">
        <v>33.7</v>
      </c>
      <c r="X158" s="22">
        <f aca="true" t="shared" si="38" ref="X158:X178">V158*1.3</f>
        <v>272.35</v>
      </c>
      <c r="Y158" s="58">
        <f t="shared" si="35"/>
        <v>197.11</v>
      </c>
      <c r="Z158" s="58">
        <f t="shared" si="36"/>
        <v>108.94</v>
      </c>
      <c r="AA158" s="24"/>
      <c r="AB158" s="26">
        <v>43.2</v>
      </c>
      <c r="AC158" s="175">
        <v>2</v>
      </c>
    </row>
    <row r="159" spans="1:29" ht="12.75">
      <c r="A159" s="205">
        <v>117</v>
      </c>
      <c r="B159" s="19">
        <v>1990</v>
      </c>
      <c r="C159" s="19" t="s">
        <v>16</v>
      </c>
      <c r="D159" s="27" t="s">
        <v>89</v>
      </c>
      <c r="E159" s="20">
        <v>5</v>
      </c>
      <c r="F159" s="21" t="s">
        <v>7</v>
      </c>
      <c r="G159" s="21">
        <v>8</v>
      </c>
      <c r="H159" s="21">
        <v>5</v>
      </c>
      <c r="I159" s="21">
        <v>1</v>
      </c>
      <c r="J159" s="21">
        <v>5</v>
      </c>
      <c r="K159" s="21"/>
      <c r="L159" s="21">
        <v>50</v>
      </c>
      <c r="M159" s="21">
        <v>185</v>
      </c>
      <c r="N159" s="120">
        <v>4001.8</v>
      </c>
      <c r="O159" s="120">
        <v>3591.8</v>
      </c>
      <c r="P159" s="206">
        <f>2305.3-1.1-0.8+2.5</f>
        <v>2305.9</v>
      </c>
      <c r="Q159" s="24"/>
      <c r="R159" s="22"/>
      <c r="S159" s="22"/>
      <c r="T159" s="22"/>
      <c r="U159" s="22"/>
      <c r="V159" s="22">
        <v>354.4</v>
      </c>
      <c r="W159" s="22">
        <v>55.6</v>
      </c>
      <c r="X159" s="22">
        <f t="shared" si="38"/>
        <v>460.71999999999997</v>
      </c>
      <c r="Y159" s="58">
        <f t="shared" si="35"/>
        <v>332.032</v>
      </c>
      <c r="Z159" s="58">
        <f t="shared" si="36"/>
        <v>184.28799999999995</v>
      </c>
      <c r="AA159" s="24"/>
      <c r="AB159" s="26">
        <v>72</v>
      </c>
      <c r="AC159" s="175">
        <v>3</v>
      </c>
    </row>
    <row r="160" spans="1:29" ht="12.75">
      <c r="A160" s="205">
        <v>118</v>
      </c>
      <c r="B160" s="19">
        <v>1991</v>
      </c>
      <c r="C160" s="19" t="s">
        <v>16</v>
      </c>
      <c r="D160" s="27" t="s">
        <v>89</v>
      </c>
      <c r="E160" s="20">
        <v>7</v>
      </c>
      <c r="F160" s="21" t="s">
        <v>7</v>
      </c>
      <c r="G160" s="21">
        <v>8</v>
      </c>
      <c r="H160" s="21">
        <v>5</v>
      </c>
      <c r="I160" s="21">
        <v>1</v>
      </c>
      <c r="J160" s="21">
        <v>7</v>
      </c>
      <c r="K160" s="21"/>
      <c r="L160" s="21">
        <v>104</v>
      </c>
      <c r="M160" s="21">
        <v>282</v>
      </c>
      <c r="N160" s="120">
        <f t="shared" si="37"/>
        <v>5808.8</v>
      </c>
      <c r="O160" s="120">
        <v>5184.2</v>
      </c>
      <c r="P160" s="206">
        <f>2957.2-0.3</f>
        <v>2956.8999999999996</v>
      </c>
      <c r="Q160" s="24"/>
      <c r="R160" s="22"/>
      <c r="S160" s="22">
        <v>48.7</v>
      </c>
      <c r="T160" s="22">
        <v>29.2</v>
      </c>
      <c r="U160" s="22"/>
      <c r="V160" s="22">
        <v>498.3</v>
      </c>
      <c r="W160" s="22">
        <v>77.6</v>
      </c>
      <c r="X160" s="22">
        <f t="shared" si="38"/>
        <v>647.7900000000001</v>
      </c>
      <c r="Y160" s="58">
        <f t="shared" si="35"/>
        <v>466.2740000000001</v>
      </c>
      <c r="Z160" s="58">
        <f t="shared" si="36"/>
        <v>259.116</v>
      </c>
      <c r="AA160" s="24"/>
      <c r="AB160" s="26">
        <v>114.7</v>
      </c>
      <c r="AC160" s="175">
        <v>4</v>
      </c>
    </row>
    <row r="161" spans="1:29" ht="12.75">
      <c r="A161" s="205">
        <v>119</v>
      </c>
      <c r="B161" s="19">
        <v>1990</v>
      </c>
      <c r="C161" s="19" t="s">
        <v>16</v>
      </c>
      <c r="D161" s="27" t="s">
        <v>89</v>
      </c>
      <c r="E161" s="20">
        <v>9</v>
      </c>
      <c r="F161" s="21" t="s">
        <v>7</v>
      </c>
      <c r="G161" s="21">
        <v>8</v>
      </c>
      <c r="H161" s="21">
        <v>5</v>
      </c>
      <c r="I161" s="21">
        <v>1</v>
      </c>
      <c r="J161" s="21">
        <v>3</v>
      </c>
      <c r="K161" s="21"/>
      <c r="L161" s="21">
        <v>29</v>
      </c>
      <c r="M161" s="21">
        <v>108</v>
      </c>
      <c r="N161" s="120">
        <f t="shared" si="37"/>
        <v>2317.9</v>
      </c>
      <c r="O161" s="120">
        <v>2074.6</v>
      </c>
      <c r="P161" s="206">
        <f>1390.9-1.2</f>
        <v>1389.7</v>
      </c>
      <c r="Q161" s="24"/>
      <c r="R161" s="22"/>
      <c r="S161" s="22"/>
      <c r="T161" s="22"/>
      <c r="U161" s="22"/>
      <c r="V161" s="22">
        <v>209.3</v>
      </c>
      <c r="W161" s="22">
        <v>34</v>
      </c>
      <c r="X161" s="22">
        <f t="shared" si="38"/>
        <v>272.09000000000003</v>
      </c>
      <c r="Y161" s="58">
        <f t="shared" si="35"/>
        <v>197.25400000000002</v>
      </c>
      <c r="Z161" s="58">
        <f t="shared" si="36"/>
        <v>108.83600000000001</v>
      </c>
      <c r="AA161" s="24"/>
      <c r="AB161" s="26">
        <v>49.1</v>
      </c>
      <c r="AC161" s="175">
        <v>5</v>
      </c>
    </row>
    <row r="162" spans="1:29" ht="12.75">
      <c r="A162" s="205">
        <v>120</v>
      </c>
      <c r="B162" s="19">
        <v>1991</v>
      </c>
      <c r="C162" s="19" t="s">
        <v>16</v>
      </c>
      <c r="D162" s="27" t="s">
        <v>89</v>
      </c>
      <c r="E162" s="20" t="s">
        <v>91</v>
      </c>
      <c r="F162" s="21" t="s">
        <v>7</v>
      </c>
      <c r="G162" s="21">
        <v>8</v>
      </c>
      <c r="H162" s="21">
        <v>5</v>
      </c>
      <c r="I162" s="21">
        <v>1</v>
      </c>
      <c r="J162" s="21">
        <v>3</v>
      </c>
      <c r="K162" s="21"/>
      <c r="L162" s="21">
        <v>30</v>
      </c>
      <c r="M162" s="21">
        <v>101</v>
      </c>
      <c r="N162" s="120">
        <f t="shared" si="37"/>
        <v>2370.3</v>
      </c>
      <c r="O162" s="120">
        <v>2125.9</v>
      </c>
      <c r="P162" s="206">
        <f>1364.6-3.2+3.8+4</f>
        <v>1369.1999999999998</v>
      </c>
      <c r="Q162" s="24"/>
      <c r="R162" s="22"/>
      <c r="S162" s="22"/>
      <c r="T162" s="22"/>
      <c r="U162" s="22"/>
      <c r="V162" s="22">
        <v>211.4</v>
      </c>
      <c r="W162" s="22">
        <v>33</v>
      </c>
      <c r="X162" s="22">
        <f t="shared" si="38"/>
        <v>274.82</v>
      </c>
      <c r="Y162" s="58">
        <f t="shared" si="35"/>
        <v>197.892</v>
      </c>
      <c r="Z162" s="58">
        <f t="shared" si="36"/>
        <v>109.928</v>
      </c>
      <c r="AA162" s="90"/>
      <c r="AB162" s="88">
        <v>50.4</v>
      </c>
      <c r="AC162" s="175">
        <v>6</v>
      </c>
    </row>
    <row r="163" spans="1:29" ht="15" customHeight="1">
      <c r="A163" s="205">
        <v>121</v>
      </c>
      <c r="B163" s="19">
        <v>1994</v>
      </c>
      <c r="C163" s="19" t="s">
        <v>16</v>
      </c>
      <c r="D163" s="27" t="s">
        <v>33</v>
      </c>
      <c r="E163" s="20">
        <v>109</v>
      </c>
      <c r="F163" s="21" t="s">
        <v>7</v>
      </c>
      <c r="G163" s="20">
        <v>1</v>
      </c>
      <c r="H163" s="20">
        <v>9</v>
      </c>
      <c r="I163" s="21">
        <v>1</v>
      </c>
      <c r="J163" s="20">
        <v>1</v>
      </c>
      <c r="K163" s="20"/>
      <c r="L163" s="21">
        <v>36</v>
      </c>
      <c r="M163" s="21">
        <v>121</v>
      </c>
      <c r="N163" s="120">
        <f t="shared" si="37"/>
        <v>2338.2000000000003</v>
      </c>
      <c r="O163" s="120">
        <v>2034.9</v>
      </c>
      <c r="P163" s="206">
        <f>1355.3-0.9-0.8-0.8-0.7</f>
        <v>1352.1</v>
      </c>
      <c r="Q163" s="24"/>
      <c r="R163" s="22"/>
      <c r="S163" s="22"/>
      <c r="T163" s="22"/>
      <c r="U163" s="22"/>
      <c r="V163" s="22">
        <v>85.5</v>
      </c>
      <c r="W163" s="22">
        <v>217.8</v>
      </c>
      <c r="X163" s="22">
        <f t="shared" si="38"/>
        <v>111.15</v>
      </c>
      <c r="Y163" s="58">
        <f>X163/H163*4+24.2+217.8/8*3</f>
        <v>155.27500000000003</v>
      </c>
      <c r="Z163" s="58">
        <f t="shared" si="36"/>
        <v>173.675</v>
      </c>
      <c r="AA163" s="90"/>
      <c r="AB163" s="88">
        <v>64.3</v>
      </c>
      <c r="AC163" s="175">
        <v>7</v>
      </c>
    </row>
    <row r="164" spans="1:29" ht="12.75">
      <c r="A164" s="205">
        <v>122</v>
      </c>
      <c r="B164" s="19">
        <v>1989</v>
      </c>
      <c r="C164" s="19" t="s">
        <v>16</v>
      </c>
      <c r="D164" s="27" t="s">
        <v>33</v>
      </c>
      <c r="E164" s="20">
        <v>111</v>
      </c>
      <c r="F164" s="21" t="s">
        <v>7</v>
      </c>
      <c r="G164" s="21">
        <v>8</v>
      </c>
      <c r="H164" s="21">
        <v>5</v>
      </c>
      <c r="I164" s="21">
        <v>1</v>
      </c>
      <c r="J164" s="21">
        <v>7</v>
      </c>
      <c r="K164" s="21"/>
      <c r="L164" s="21">
        <f>105</f>
        <v>105</v>
      </c>
      <c r="M164" s="21">
        <v>276</v>
      </c>
      <c r="N164" s="120">
        <f t="shared" si="37"/>
        <v>5761.300000000001</v>
      </c>
      <c r="O164" s="120">
        <v>4987.3</v>
      </c>
      <c r="P164" s="206">
        <f>2940.5-17.5-0.1-0.2-0.1-29.1-41.5+2.1-7.4</f>
        <v>2846.7000000000003</v>
      </c>
      <c r="Q164" s="24">
        <v>65.6</v>
      </c>
      <c r="R164" s="22">
        <v>41.5</v>
      </c>
      <c r="S164" s="22">
        <f>37.6</f>
        <v>37.6</v>
      </c>
      <c r="T164" s="22">
        <f>17.5</f>
        <v>17.5</v>
      </c>
      <c r="U164" s="22">
        <f>87.6</f>
        <v>87.6</v>
      </c>
      <c r="V164" s="22">
        <v>500.9</v>
      </c>
      <c r="W164" s="22">
        <v>82.3</v>
      </c>
      <c r="X164" s="22">
        <f>V164*1.3</f>
        <v>651.17</v>
      </c>
      <c r="Y164" s="58">
        <f aca="true" t="shared" si="39" ref="Y164:Y173">X164/H164*3+W164</f>
        <v>473.00199999999995</v>
      </c>
      <c r="Z164" s="58">
        <f t="shared" si="36"/>
        <v>260.46799999999996</v>
      </c>
      <c r="AA164" s="90"/>
      <c r="AB164" s="88">
        <v>100.8</v>
      </c>
      <c r="AC164" s="175">
        <v>8</v>
      </c>
    </row>
    <row r="165" spans="1:29" ht="12.75">
      <c r="A165" s="205">
        <v>123</v>
      </c>
      <c r="B165" s="19">
        <v>1990</v>
      </c>
      <c r="C165" s="19" t="s">
        <v>16</v>
      </c>
      <c r="D165" s="27" t="s">
        <v>33</v>
      </c>
      <c r="E165" s="20" t="s">
        <v>92</v>
      </c>
      <c r="F165" s="21" t="s">
        <v>7</v>
      </c>
      <c r="G165" s="21">
        <v>8</v>
      </c>
      <c r="H165" s="21">
        <v>5</v>
      </c>
      <c r="I165" s="21">
        <v>1</v>
      </c>
      <c r="J165" s="21">
        <v>5</v>
      </c>
      <c r="K165" s="21"/>
      <c r="L165" s="21">
        <v>75</v>
      </c>
      <c r="M165" s="21">
        <f>190+282</f>
        <v>472</v>
      </c>
      <c r="N165" s="120">
        <f t="shared" si="37"/>
        <v>4105.9</v>
      </c>
      <c r="O165" s="120">
        <f>3715.5-0.6-0.5-0.9-0.4</f>
        <v>3713.1</v>
      </c>
      <c r="P165" s="206">
        <f>2126.9-0.4-0.3-0.5-0.1</f>
        <v>2125.6</v>
      </c>
      <c r="Q165" s="24"/>
      <c r="R165" s="22"/>
      <c r="S165" s="22"/>
      <c r="T165" s="22"/>
      <c r="U165" s="22"/>
      <c r="V165" s="22">
        <v>348</v>
      </c>
      <c r="W165" s="22">
        <v>44.8</v>
      </c>
      <c r="X165" s="22">
        <f aca="true" t="shared" si="40" ref="X165:X172">V165*1.3</f>
        <v>452.40000000000003</v>
      </c>
      <c r="Y165" s="58">
        <f t="shared" si="39"/>
        <v>316.24</v>
      </c>
      <c r="Z165" s="58">
        <f t="shared" si="36"/>
        <v>180.96000000000004</v>
      </c>
      <c r="AA165" s="24"/>
      <c r="AB165" s="26">
        <v>72</v>
      </c>
      <c r="AC165" s="175">
        <v>9</v>
      </c>
    </row>
    <row r="166" spans="1:29" ht="12.75">
      <c r="A166" s="205">
        <v>124</v>
      </c>
      <c r="B166" s="19">
        <v>1990</v>
      </c>
      <c r="C166" s="19" t="s">
        <v>16</v>
      </c>
      <c r="D166" s="27" t="s">
        <v>33</v>
      </c>
      <c r="E166" s="20" t="s">
        <v>93</v>
      </c>
      <c r="F166" s="21" t="s">
        <v>7</v>
      </c>
      <c r="G166" s="21">
        <v>8</v>
      </c>
      <c r="H166" s="21">
        <v>5</v>
      </c>
      <c r="I166" s="21">
        <v>1</v>
      </c>
      <c r="J166" s="21">
        <v>3</v>
      </c>
      <c r="K166" s="21"/>
      <c r="L166" s="21">
        <v>30</v>
      </c>
      <c r="M166" s="21">
        <f>107+76</f>
        <v>183</v>
      </c>
      <c r="N166" s="120">
        <f t="shared" si="37"/>
        <v>2390.1</v>
      </c>
      <c r="O166" s="121">
        <f>2146.7</f>
        <v>2146.7</v>
      </c>
      <c r="P166" s="207">
        <f>1376.4</f>
        <v>1376.4</v>
      </c>
      <c r="Q166" s="24"/>
      <c r="R166" s="22"/>
      <c r="S166" s="22"/>
      <c r="T166" s="22"/>
      <c r="U166" s="22"/>
      <c r="V166" s="22">
        <v>210</v>
      </c>
      <c r="W166" s="22">
        <v>33.4</v>
      </c>
      <c r="X166" s="22">
        <f t="shared" si="40"/>
        <v>273</v>
      </c>
      <c r="Y166" s="58">
        <f t="shared" si="39"/>
        <v>197.20000000000002</v>
      </c>
      <c r="Z166" s="58">
        <f t="shared" si="36"/>
        <v>109.19999999999996</v>
      </c>
      <c r="AA166" s="24"/>
      <c r="AB166" s="26">
        <v>43.2</v>
      </c>
      <c r="AC166" s="175">
        <v>10</v>
      </c>
    </row>
    <row r="167" spans="1:29" ht="12.75">
      <c r="A167" s="205">
        <v>125</v>
      </c>
      <c r="B167" s="19">
        <v>1990</v>
      </c>
      <c r="C167" s="19" t="s">
        <v>16</v>
      </c>
      <c r="D167" s="27" t="s">
        <v>33</v>
      </c>
      <c r="E167" s="20">
        <v>113</v>
      </c>
      <c r="F167" s="21" t="s">
        <v>7</v>
      </c>
      <c r="G167" s="21">
        <v>8</v>
      </c>
      <c r="H167" s="21">
        <v>5</v>
      </c>
      <c r="I167" s="21">
        <v>1</v>
      </c>
      <c r="J167" s="21">
        <v>6</v>
      </c>
      <c r="K167" s="21"/>
      <c r="L167" s="21">
        <v>89</v>
      </c>
      <c r="M167" s="21">
        <v>233</v>
      </c>
      <c r="N167" s="120">
        <f t="shared" si="37"/>
        <v>4954.4</v>
      </c>
      <c r="O167" s="121">
        <f>4455-0.1-0.9-1.5</f>
        <v>4452.5</v>
      </c>
      <c r="P167" s="207">
        <f>2559.5+0-0.7-0.1</f>
        <v>2558.7000000000003</v>
      </c>
      <c r="Q167" s="24"/>
      <c r="R167" s="22"/>
      <c r="S167" s="22"/>
      <c r="T167" s="22"/>
      <c r="U167" s="22"/>
      <c r="V167" s="22">
        <v>426.4</v>
      </c>
      <c r="W167" s="22">
        <v>75.5</v>
      </c>
      <c r="X167" s="22">
        <f t="shared" si="40"/>
        <v>554.3199999999999</v>
      </c>
      <c r="Y167" s="58">
        <f t="shared" si="39"/>
        <v>408.092</v>
      </c>
      <c r="Z167" s="58">
        <f t="shared" si="36"/>
        <v>221.72799999999995</v>
      </c>
      <c r="AA167" s="24"/>
      <c r="AB167" s="26">
        <v>86.4</v>
      </c>
      <c r="AC167" s="175">
        <v>11</v>
      </c>
    </row>
    <row r="168" spans="1:29" ht="12.75">
      <c r="A168" s="205">
        <v>126</v>
      </c>
      <c r="B168" s="19">
        <v>1990</v>
      </c>
      <c r="C168" s="19" t="s">
        <v>16</v>
      </c>
      <c r="D168" s="27" t="s">
        <v>33</v>
      </c>
      <c r="E168" s="20" t="s">
        <v>94</v>
      </c>
      <c r="F168" s="21" t="s">
        <v>7</v>
      </c>
      <c r="G168" s="21">
        <v>8</v>
      </c>
      <c r="H168" s="21">
        <v>5</v>
      </c>
      <c r="I168" s="21">
        <v>1</v>
      </c>
      <c r="J168" s="21">
        <v>4</v>
      </c>
      <c r="K168" s="21"/>
      <c r="L168" s="21">
        <f>60</f>
        <v>60</v>
      </c>
      <c r="M168" s="21">
        <v>161</v>
      </c>
      <c r="N168" s="120">
        <f t="shared" si="37"/>
        <v>3291.4999999999995</v>
      </c>
      <c r="O168" s="121">
        <f>2965.2-51.3-0.4</f>
        <v>2913.4999999999995</v>
      </c>
      <c r="P168" s="206">
        <f>1703-28.9</f>
        <v>1674.1</v>
      </c>
      <c r="Q168" s="24"/>
      <c r="R168" s="22"/>
      <c r="S168" s="22">
        <v>51.3</v>
      </c>
      <c r="T168" s="22">
        <v>28.9</v>
      </c>
      <c r="U168" s="22"/>
      <c r="V168" s="22">
        <v>282.2</v>
      </c>
      <c r="W168" s="22">
        <v>44.5</v>
      </c>
      <c r="X168" s="22">
        <f t="shared" si="40"/>
        <v>366.86</v>
      </c>
      <c r="Y168" s="58">
        <f t="shared" si="39"/>
        <v>264.616</v>
      </c>
      <c r="Z168" s="58">
        <f t="shared" si="36"/>
        <v>146.74400000000003</v>
      </c>
      <c r="AA168" s="61"/>
      <c r="AB168" s="94">
        <v>57.6</v>
      </c>
      <c r="AC168" s="175">
        <v>12</v>
      </c>
    </row>
    <row r="169" spans="1:29" ht="12.75">
      <c r="A169" s="205">
        <v>127</v>
      </c>
      <c r="B169" s="19">
        <v>1990</v>
      </c>
      <c r="C169" s="19" t="s">
        <v>16</v>
      </c>
      <c r="D169" s="27" t="s">
        <v>33</v>
      </c>
      <c r="E169" s="20" t="s">
        <v>95</v>
      </c>
      <c r="F169" s="21" t="s">
        <v>7</v>
      </c>
      <c r="G169" s="21">
        <v>8</v>
      </c>
      <c r="H169" s="21">
        <v>5</v>
      </c>
      <c r="I169" s="21">
        <v>1</v>
      </c>
      <c r="J169" s="21">
        <v>3</v>
      </c>
      <c r="K169" s="21"/>
      <c r="L169" s="21">
        <v>45</v>
      </c>
      <c r="M169" s="21">
        <v>132</v>
      </c>
      <c r="N169" s="120">
        <f t="shared" si="37"/>
        <v>2465</v>
      </c>
      <c r="O169" s="120">
        <v>2221.9</v>
      </c>
      <c r="P169" s="206">
        <v>1272.1</v>
      </c>
      <c r="Q169" s="24"/>
      <c r="R169" s="22"/>
      <c r="S169" s="22"/>
      <c r="T169" s="22"/>
      <c r="U169" s="22"/>
      <c r="V169" s="22">
        <v>210.1</v>
      </c>
      <c r="W169" s="22">
        <v>33</v>
      </c>
      <c r="X169" s="22">
        <f t="shared" si="40"/>
        <v>273.13</v>
      </c>
      <c r="Y169" s="58">
        <f t="shared" si="39"/>
        <v>196.878</v>
      </c>
      <c r="Z169" s="58">
        <f t="shared" si="36"/>
        <v>109.25200000000001</v>
      </c>
      <c r="AA169" s="24"/>
      <c r="AB169" s="26">
        <v>43.2</v>
      </c>
      <c r="AC169" s="175">
        <v>13</v>
      </c>
    </row>
    <row r="170" spans="1:29" ht="12.75">
      <c r="A170" s="205">
        <v>128</v>
      </c>
      <c r="B170" s="19">
        <v>1990</v>
      </c>
      <c r="C170" s="19" t="s">
        <v>16</v>
      </c>
      <c r="D170" s="27" t="s">
        <v>33</v>
      </c>
      <c r="E170" s="20">
        <v>115</v>
      </c>
      <c r="F170" s="21" t="s">
        <v>7</v>
      </c>
      <c r="G170" s="21">
        <v>8</v>
      </c>
      <c r="H170" s="21">
        <v>5</v>
      </c>
      <c r="I170" s="21">
        <v>1</v>
      </c>
      <c r="J170" s="21">
        <v>5</v>
      </c>
      <c r="K170" s="21"/>
      <c r="L170" s="21">
        <v>89</v>
      </c>
      <c r="M170" s="21">
        <v>241</v>
      </c>
      <c r="N170" s="120">
        <f t="shared" si="37"/>
        <v>4971.8</v>
      </c>
      <c r="O170" s="122">
        <v>4472</v>
      </c>
      <c r="P170" s="207">
        <f>2568.3-0.2-0.4-0.4</f>
        <v>2567.3</v>
      </c>
      <c r="Q170" s="24"/>
      <c r="R170" s="22"/>
      <c r="S170" s="22"/>
      <c r="T170" s="22"/>
      <c r="U170" s="22"/>
      <c r="V170" s="22">
        <v>424</v>
      </c>
      <c r="W170" s="22">
        <v>75.8</v>
      </c>
      <c r="X170" s="22">
        <f t="shared" si="40"/>
        <v>551.2</v>
      </c>
      <c r="Y170" s="58">
        <f t="shared" si="39"/>
        <v>406.52000000000004</v>
      </c>
      <c r="Z170" s="58">
        <f t="shared" si="36"/>
        <v>220.47999999999996</v>
      </c>
      <c r="AA170" s="24"/>
      <c r="AB170" s="26">
        <v>86.4</v>
      </c>
      <c r="AC170" s="175">
        <v>14</v>
      </c>
    </row>
    <row r="171" spans="1:29" ht="12.75">
      <c r="A171" s="205">
        <v>129</v>
      </c>
      <c r="B171" s="19">
        <v>1990</v>
      </c>
      <c r="C171" s="19" t="s">
        <v>16</v>
      </c>
      <c r="D171" s="27" t="s">
        <v>33</v>
      </c>
      <c r="E171" s="20" t="s">
        <v>96</v>
      </c>
      <c r="F171" s="21" t="s">
        <v>7</v>
      </c>
      <c r="G171" s="21">
        <v>8</v>
      </c>
      <c r="H171" s="21">
        <v>5</v>
      </c>
      <c r="I171" s="21">
        <v>1</v>
      </c>
      <c r="J171" s="21">
        <v>4</v>
      </c>
      <c r="K171" s="21"/>
      <c r="L171" s="21">
        <v>60</v>
      </c>
      <c r="M171" s="21">
        <v>174</v>
      </c>
      <c r="N171" s="120">
        <f t="shared" si="37"/>
        <v>3301.7</v>
      </c>
      <c r="O171" s="160">
        <v>2975</v>
      </c>
      <c r="P171" s="206">
        <f>1711.3-0.3</f>
        <v>1711</v>
      </c>
      <c r="Q171" s="24"/>
      <c r="R171" s="22"/>
      <c r="S171" s="22"/>
      <c r="T171" s="22"/>
      <c r="U171" s="22"/>
      <c r="V171" s="22">
        <v>282.2</v>
      </c>
      <c r="W171" s="22">
        <v>44.5</v>
      </c>
      <c r="X171" s="22">
        <f t="shared" si="40"/>
        <v>366.86</v>
      </c>
      <c r="Y171" s="58">
        <f t="shared" si="39"/>
        <v>264.616</v>
      </c>
      <c r="Z171" s="58">
        <f t="shared" si="36"/>
        <v>146.74400000000003</v>
      </c>
      <c r="AA171" s="61"/>
      <c r="AB171" s="94">
        <v>57.6</v>
      </c>
      <c r="AC171" s="175">
        <v>15</v>
      </c>
    </row>
    <row r="172" spans="1:29" ht="12.75">
      <c r="A172" s="205">
        <v>130</v>
      </c>
      <c r="B172" s="19">
        <v>1990</v>
      </c>
      <c r="C172" s="19" t="s">
        <v>16</v>
      </c>
      <c r="D172" s="27" t="s">
        <v>33</v>
      </c>
      <c r="E172" s="20" t="s">
        <v>97</v>
      </c>
      <c r="F172" s="21" t="s">
        <v>7</v>
      </c>
      <c r="G172" s="21">
        <v>8</v>
      </c>
      <c r="H172" s="21">
        <v>5</v>
      </c>
      <c r="I172" s="21">
        <v>1</v>
      </c>
      <c r="J172" s="21">
        <v>3</v>
      </c>
      <c r="K172" s="21"/>
      <c r="L172" s="21">
        <v>45</v>
      </c>
      <c r="M172" s="21">
        <v>124</v>
      </c>
      <c r="N172" s="120">
        <f t="shared" si="37"/>
        <v>2476.1000000000004</v>
      </c>
      <c r="O172" s="120">
        <v>2231.9</v>
      </c>
      <c r="P172" s="206">
        <f>1277-0.1+6.1</f>
        <v>1283</v>
      </c>
      <c r="Q172" s="24"/>
      <c r="R172" s="22"/>
      <c r="S172" s="22"/>
      <c r="T172" s="22"/>
      <c r="U172" s="22"/>
      <c r="V172" s="22">
        <v>210.8</v>
      </c>
      <c r="W172" s="22">
        <v>33.4</v>
      </c>
      <c r="X172" s="22">
        <f t="shared" si="40"/>
        <v>274.04</v>
      </c>
      <c r="Y172" s="58">
        <f t="shared" si="39"/>
        <v>197.82400000000004</v>
      </c>
      <c r="Z172" s="58">
        <f t="shared" si="36"/>
        <v>109.61599999999996</v>
      </c>
      <c r="AA172" s="24"/>
      <c r="AB172" s="26">
        <v>43.2</v>
      </c>
      <c r="AC172" s="175">
        <v>16</v>
      </c>
    </row>
    <row r="173" spans="1:29" ht="12.75">
      <c r="A173" s="205">
        <v>131</v>
      </c>
      <c r="B173" s="19">
        <v>1991</v>
      </c>
      <c r="C173" s="19" t="s">
        <v>16</v>
      </c>
      <c r="D173" s="27" t="s">
        <v>33</v>
      </c>
      <c r="E173" s="20">
        <v>117</v>
      </c>
      <c r="F173" s="21" t="s">
        <v>7</v>
      </c>
      <c r="G173" s="21">
        <v>8</v>
      </c>
      <c r="H173" s="21">
        <v>5</v>
      </c>
      <c r="I173" s="21">
        <v>1</v>
      </c>
      <c r="J173" s="21">
        <v>5</v>
      </c>
      <c r="K173" s="21"/>
      <c r="L173" s="21">
        <v>75</v>
      </c>
      <c r="M173" s="21">
        <v>224</v>
      </c>
      <c r="N173" s="120">
        <f t="shared" si="37"/>
        <v>4146.6</v>
      </c>
      <c r="O173" s="120">
        <v>3735.4</v>
      </c>
      <c r="P173" s="206">
        <f>2144.4-0.2-0.4</f>
        <v>2143.8</v>
      </c>
      <c r="Q173" s="24"/>
      <c r="R173" s="22"/>
      <c r="S173" s="22"/>
      <c r="T173" s="22"/>
      <c r="U173" s="22"/>
      <c r="V173" s="22">
        <v>355.4</v>
      </c>
      <c r="W173" s="22">
        <v>55.8</v>
      </c>
      <c r="X173" s="22">
        <f>2.7+3.2+9.1+16.4+11.9+1.4+2.7+3.1+8.9+12+1.4+4.9+11.1+2.7+3.3+9.3+11.9+1.4</f>
        <v>117.40000000000002</v>
      </c>
      <c r="Y173" s="58">
        <f t="shared" si="39"/>
        <v>126.24000000000001</v>
      </c>
      <c r="Z173" s="58">
        <f t="shared" si="36"/>
        <v>46.96000000000001</v>
      </c>
      <c r="AA173" s="24"/>
      <c r="AB173" s="26">
        <v>72</v>
      </c>
      <c r="AC173" s="175">
        <v>17</v>
      </c>
    </row>
    <row r="174" spans="1:29" ht="12.75">
      <c r="A174" s="205">
        <v>132</v>
      </c>
      <c r="B174" s="19">
        <v>1991</v>
      </c>
      <c r="C174" s="19" t="s">
        <v>16</v>
      </c>
      <c r="D174" s="27" t="s">
        <v>30</v>
      </c>
      <c r="E174" s="20" t="s">
        <v>98</v>
      </c>
      <c r="F174" s="21" t="s">
        <v>7</v>
      </c>
      <c r="G174" s="20">
        <v>3</v>
      </c>
      <c r="H174" s="20">
        <v>9</v>
      </c>
      <c r="I174" s="21">
        <v>1</v>
      </c>
      <c r="J174" s="20">
        <v>1</v>
      </c>
      <c r="K174" s="20"/>
      <c r="L174" s="21">
        <v>108</v>
      </c>
      <c r="M174" s="21">
        <v>264</v>
      </c>
      <c r="N174" s="120">
        <f t="shared" si="37"/>
        <v>6236.1</v>
      </c>
      <c r="O174" s="121">
        <v>4830.3</v>
      </c>
      <c r="P174" s="207">
        <f>2727.7-0.5-0.1-0.2-0.2+0.1-0.5</f>
        <v>2726.3</v>
      </c>
      <c r="Q174" s="24"/>
      <c r="R174" s="22"/>
      <c r="S174" s="22"/>
      <c r="T174" s="22"/>
      <c r="U174" s="22"/>
      <c r="V174" s="22">
        <v>137.4</v>
      </c>
      <c r="W174" s="22">
        <v>1268.4</v>
      </c>
      <c r="X174" s="22">
        <f t="shared" si="38"/>
        <v>178.62</v>
      </c>
      <c r="Y174" s="58">
        <f>X174/H174*4+W174/H174*4</f>
        <v>643.12</v>
      </c>
      <c r="Z174" s="58">
        <f>W174+X174-Y174</f>
        <v>803.9</v>
      </c>
      <c r="AA174" s="24"/>
      <c r="AB174" s="26">
        <v>72.1</v>
      </c>
      <c r="AC174" s="175">
        <v>18</v>
      </c>
    </row>
    <row r="175" spans="1:29" ht="12.75">
      <c r="A175" s="205">
        <v>133</v>
      </c>
      <c r="B175" s="19">
        <v>1992</v>
      </c>
      <c r="C175" s="19" t="s">
        <v>16</v>
      </c>
      <c r="D175" s="27" t="s">
        <v>30</v>
      </c>
      <c r="E175" s="20" t="s">
        <v>99</v>
      </c>
      <c r="F175" s="21" t="s">
        <v>7</v>
      </c>
      <c r="G175" s="20">
        <v>3</v>
      </c>
      <c r="H175" s="20">
        <v>9</v>
      </c>
      <c r="I175" s="21">
        <v>1</v>
      </c>
      <c r="J175" s="20">
        <v>1</v>
      </c>
      <c r="K175" s="20"/>
      <c r="L175" s="21">
        <v>108</v>
      </c>
      <c r="M175" s="21">
        <v>255</v>
      </c>
      <c r="N175" s="120">
        <f t="shared" si="37"/>
        <v>6117.6</v>
      </c>
      <c r="O175" s="121">
        <v>4552.1</v>
      </c>
      <c r="P175" s="207">
        <f>2709.9-90.4-49.9-0.2-0.1+0.2</f>
        <v>2569.5</v>
      </c>
      <c r="Q175" s="24"/>
      <c r="R175" s="22"/>
      <c r="S175" s="22">
        <f>164.3+44.7+44.3</f>
        <v>253.3</v>
      </c>
      <c r="T175" s="22">
        <f>90.4+25.1+24.8</f>
        <v>140.3</v>
      </c>
      <c r="U175" s="22"/>
      <c r="V175" s="22">
        <v>137.7</v>
      </c>
      <c r="W175" s="22">
        <v>1174.5</v>
      </c>
      <c r="X175" s="22">
        <f t="shared" si="38"/>
        <v>179.01</v>
      </c>
      <c r="Y175" s="58">
        <f>X175/H175*4+W175/H175*4</f>
        <v>601.56</v>
      </c>
      <c r="Z175" s="58">
        <f>W175+X175-Y175</f>
        <v>751.95</v>
      </c>
      <c r="AA175" s="24"/>
      <c r="AB175" s="26">
        <v>64.8</v>
      </c>
      <c r="AC175" s="175">
        <v>19</v>
      </c>
    </row>
    <row r="176" spans="1:29" ht="12.75">
      <c r="A176" s="205">
        <v>134</v>
      </c>
      <c r="B176" s="19">
        <v>1995</v>
      </c>
      <c r="C176" s="19" t="s">
        <v>16</v>
      </c>
      <c r="D176" s="27" t="s">
        <v>30</v>
      </c>
      <c r="E176" s="20">
        <v>94</v>
      </c>
      <c r="F176" s="21" t="s">
        <v>7</v>
      </c>
      <c r="G176" s="20">
        <v>3</v>
      </c>
      <c r="H176" s="20">
        <v>9</v>
      </c>
      <c r="I176" s="21">
        <v>1</v>
      </c>
      <c r="J176" s="20">
        <v>1</v>
      </c>
      <c r="K176" s="20"/>
      <c r="L176" s="21">
        <f>108</f>
        <v>108</v>
      </c>
      <c r="M176" s="21">
        <v>262</v>
      </c>
      <c r="N176" s="120">
        <f t="shared" si="37"/>
        <v>6442.5</v>
      </c>
      <c r="O176" s="121">
        <v>4659.1</v>
      </c>
      <c r="P176" s="207">
        <f>2631.7-0.7-0.6-0.9-0.5-0.8-0.7-0.7-0.6-0.8-0.4-0.6-0.8-0.7-1.4-0.6-0.5</f>
        <v>2620.4</v>
      </c>
      <c r="Q176" s="24"/>
      <c r="R176" s="22"/>
      <c r="S176" s="22">
        <f>229.4+30-16.2</f>
        <v>243.2</v>
      </c>
      <c r="T176" s="22">
        <f>111.8+10.1-10</f>
        <v>111.89999999999999</v>
      </c>
      <c r="U176" s="22"/>
      <c r="V176" s="22">
        <v>138.8</v>
      </c>
      <c r="W176" s="22">
        <v>1401.4</v>
      </c>
      <c r="X176" s="22">
        <f t="shared" si="38"/>
        <v>180.44000000000003</v>
      </c>
      <c r="Y176" s="58">
        <f>X176/H176*4+W176/H176*4</f>
        <v>703.04</v>
      </c>
      <c r="Z176" s="58">
        <f>W176+X176-Y176</f>
        <v>878.8000000000002</v>
      </c>
      <c r="AA176" s="90"/>
      <c r="AB176" s="88">
        <v>75.6</v>
      </c>
      <c r="AC176" s="175">
        <v>20</v>
      </c>
    </row>
    <row r="177" spans="1:29" ht="12.75">
      <c r="A177" s="205">
        <v>135</v>
      </c>
      <c r="B177" s="19">
        <v>1991</v>
      </c>
      <c r="C177" s="19" t="s">
        <v>16</v>
      </c>
      <c r="D177" s="27" t="s">
        <v>30</v>
      </c>
      <c r="E177" s="20" t="s">
        <v>100</v>
      </c>
      <c r="F177" s="21" t="s">
        <v>7</v>
      </c>
      <c r="G177" s="21">
        <v>8</v>
      </c>
      <c r="H177" s="21">
        <v>5</v>
      </c>
      <c r="I177" s="21">
        <v>1</v>
      </c>
      <c r="J177" s="21">
        <v>3</v>
      </c>
      <c r="K177" s="21"/>
      <c r="L177" s="21">
        <v>45</v>
      </c>
      <c r="M177" s="21">
        <v>123</v>
      </c>
      <c r="N177" s="120">
        <f t="shared" si="37"/>
        <v>2463.8999999999996</v>
      </c>
      <c r="O177" s="120">
        <f>2220.2-0.5</f>
        <v>2219.7</v>
      </c>
      <c r="P177" s="206">
        <f>1268-0.4</f>
        <v>1267.6</v>
      </c>
      <c r="Q177" s="24"/>
      <c r="R177" s="22"/>
      <c r="S177" s="22"/>
      <c r="T177" s="22"/>
      <c r="U177" s="22"/>
      <c r="V177" s="22">
        <v>211.2</v>
      </c>
      <c r="W177" s="22">
        <v>33</v>
      </c>
      <c r="X177" s="22">
        <f t="shared" si="38"/>
        <v>274.56</v>
      </c>
      <c r="Y177" s="58">
        <f>X177/H177*3+W177</f>
        <v>197.736</v>
      </c>
      <c r="Z177" s="58">
        <f>W177+X177-Y177</f>
        <v>109.82400000000001</v>
      </c>
      <c r="AA177" s="24"/>
      <c r="AB177" s="26">
        <v>43.2</v>
      </c>
      <c r="AC177" s="175">
        <v>21</v>
      </c>
    </row>
    <row r="178" spans="1:29" ht="12.75">
      <c r="A178" s="205">
        <v>136</v>
      </c>
      <c r="B178" s="19">
        <v>1991</v>
      </c>
      <c r="C178" s="19" t="s">
        <v>16</v>
      </c>
      <c r="D178" s="27" t="s">
        <v>30</v>
      </c>
      <c r="E178" s="20" t="s">
        <v>101</v>
      </c>
      <c r="F178" s="21" t="s">
        <v>7</v>
      </c>
      <c r="G178" s="21">
        <v>8</v>
      </c>
      <c r="H178" s="21">
        <v>5</v>
      </c>
      <c r="I178" s="21">
        <v>1</v>
      </c>
      <c r="J178" s="21">
        <v>6</v>
      </c>
      <c r="K178" s="21"/>
      <c r="L178" s="21">
        <v>89</v>
      </c>
      <c r="M178" s="21">
        <v>250</v>
      </c>
      <c r="N178" s="120">
        <f t="shared" si="37"/>
        <v>4943.3</v>
      </c>
      <c r="O178" s="121">
        <v>4445.4</v>
      </c>
      <c r="P178" s="207">
        <f>2559.7-0.1</f>
        <v>2559.6</v>
      </c>
      <c r="Q178" s="24"/>
      <c r="R178" s="22"/>
      <c r="S178" s="22"/>
      <c r="T178" s="22"/>
      <c r="U178" s="22"/>
      <c r="V178" s="22">
        <v>429.1</v>
      </c>
      <c r="W178" s="22">
        <v>68.8</v>
      </c>
      <c r="X178" s="22">
        <f t="shared" si="38"/>
        <v>557.83</v>
      </c>
      <c r="Y178" s="58">
        <f>X178/H178*3+W178</f>
        <v>403.498</v>
      </c>
      <c r="Z178" s="58">
        <f>W178+X178-Y178</f>
        <v>223.132</v>
      </c>
      <c r="AA178" s="24"/>
      <c r="AB178" s="26">
        <v>86.4</v>
      </c>
      <c r="AC178" s="175">
        <v>22</v>
      </c>
    </row>
    <row r="179" spans="1:28" ht="12.75">
      <c r="A179" s="205">
        <v>137</v>
      </c>
      <c r="B179" s="19">
        <v>1995</v>
      </c>
      <c r="C179" s="19"/>
      <c r="D179" s="27" t="s">
        <v>26</v>
      </c>
      <c r="E179" s="20">
        <v>26</v>
      </c>
      <c r="F179" s="21" t="s">
        <v>7</v>
      </c>
      <c r="G179" s="21">
        <v>1</v>
      </c>
      <c r="H179" s="21">
        <v>5</v>
      </c>
      <c r="I179" s="21">
        <v>1</v>
      </c>
      <c r="J179" s="21">
        <v>3</v>
      </c>
      <c r="K179" s="21"/>
      <c r="L179" s="21">
        <v>59</v>
      </c>
      <c r="M179" s="21">
        <v>167</v>
      </c>
      <c r="N179" s="120">
        <v>4687.3</v>
      </c>
      <c r="O179" s="121">
        <v>4132.5</v>
      </c>
      <c r="P179" s="207">
        <v>3529.8</v>
      </c>
      <c r="Q179" s="24"/>
      <c r="R179" s="22"/>
      <c r="S179" s="22"/>
      <c r="T179" s="22"/>
      <c r="U179" s="22"/>
      <c r="V179" s="22"/>
      <c r="W179" s="22"/>
      <c r="X179" s="22"/>
      <c r="Y179" s="58"/>
      <c r="Z179" s="58"/>
      <c r="AA179" s="226"/>
      <c r="AB179" s="225"/>
    </row>
    <row r="180" spans="1:28" ht="13.5" thickBot="1">
      <c r="A180" s="205">
        <v>138</v>
      </c>
      <c r="B180" s="19">
        <v>1994</v>
      </c>
      <c r="C180" s="19"/>
      <c r="D180" s="27" t="s">
        <v>26</v>
      </c>
      <c r="E180" s="20">
        <v>30</v>
      </c>
      <c r="F180" s="21" t="s">
        <v>7</v>
      </c>
      <c r="G180" s="21">
        <v>8</v>
      </c>
      <c r="H180" s="21">
        <v>5</v>
      </c>
      <c r="I180" s="21">
        <v>1</v>
      </c>
      <c r="J180" s="21">
        <v>4</v>
      </c>
      <c r="K180" s="21"/>
      <c r="L180" s="21">
        <v>60</v>
      </c>
      <c r="M180" s="21">
        <v>145</v>
      </c>
      <c r="N180" s="120">
        <v>3298.3</v>
      </c>
      <c r="O180" s="121">
        <v>2972.3</v>
      </c>
      <c r="P180" s="207">
        <v>1702.4</v>
      </c>
      <c r="Q180" s="24"/>
      <c r="R180" s="22"/>
      <c r="S180" s="22"/>
      <c r="T180" s="22"/>
      <c r="U180" s="22"/>
      <c r="V180" s="22"/>
      <c r="W180" s="22"/>
      <c r="X180" s="22"/>
      <c r="Y180" s="58"/>
      <c r="Z180" s="58"/>
      <c r="AA180" s="226"/>
      <c r="AB180" s="225"/>
    </row>
    <row r="181" spans="1:28" ht="13.5" thickBot="1">
      <c r="A181" s="234"/>
      <c r="B181" s="143"/>
      <c r="C181" s="143"/>
      <c r="D181" s="164" t="s">
        <v>206</v>
      </c>
      <c r="E181" s="158"/>
      <c r="F181" s="158"/>
      <c r="G181" s="158"/>
      <c r="H181" s="158"/>
      <c r="I181" s="159">
        <f>SUM(I157:I180)</f>
        <v>24</v>
      </c>
      <c r="J181" s="159">
        <f>SUM(J157:J180)</f>
        <v>89</v>
      </c>
      <c r="K181" s="159">
        <f>SUM(K157:K178)</f>
        <v>0</v>
      </c>
      <c r="L181" s="159">
        <f aca="true" t="shared" si="41" ref="L181:Q181">SUM(L157:L180)</f>
        <v>1559</v>
      </c>
      <c r="M181" s="159">
        <f t="shared" si="41"/>
        <v>4702</v>
      </c>
      <c r="N181" s="159">
        <f t="shared" si="41"/>
        <v>93603.1</v>
      </c>
      <c r="O181" s="165">
        <f t="shared" si="41"/>
        <v>80917.8</v>
      </c>
      <c r="P181" s="216">
        <f t="shared" si="41"/>
        <v>48641.100000000006</v>
      </c>
      <c r="Q181" s="192">
        <f t="shared" si="41"/>
        <v>65.6</v>
      </c>
      <c r="R181" s="192">
        <f aca="true" t="shared" si="42" ref="R181:AA181">SUM(R157:R180)</f>
        <v>41.5</v>
      </c>
      <c r="S181" s="192">
        <f t="shared" si="42"/>
        <v>634.1</v>
      </c>
      <c r="T181" s="192">
        <f t="shared" si="42"/>
        <v>327.8</v>
      </c>
      <c r="U181" s="192">
        <f t="shared" si="42"/>
        <v>87.6</v>
      </c>
      <c r="V181" s="192">
        <f t="shared" si="42"/>
        <v>6063.099999999999</v>
      </c>
      <c r="W181" s="192">
        <f t="shared" si="42"/>
        <v>4954.099999999999</v>
      </c>
      <c r="X181" s="192">
        <f t="shared" si="42"/>
        <v>7537.41</v>
      </c>
      <c r="Y181" s="192">
        <f t="shared" si="42"/>
        <v>7127.908999999998</v>
      </c>
      <c r="Z181" s="192">
        <f t="shared" si="42"/>
        <v>5363.601</v>
      </c>
      <c r="AA181" s="192">
        <f t="shared" si="42"/>
        <v>0</v>
      </c>
      <c r="AB181" s="56" t="e">
        <f>#REF!</f>
        <v>#REF!</v>
      </c>
    </row>
    <row r="182" spans="1:28" ht="12.75">
      <c r="A182" s="205"/>
      <c r="B182" s="19"/>
      <c r="C182" s="19"/>
      <c r="D182" s="20" t="s">
        <v>102</v>
      </c>
      <c r="E182" s="20"/>
      <c r="F182" s="21"/>
      <c r="G182" s="21"/>
      <c r="H182" s="21"/>
      <c r="I182" s="21"/>
      <c r="J182" s="21"/>
      <c r="K182" s="21"/>
      <c r="L182" s="22"/>
      <c r="M182" s="19"/>
      <c r="N182" s="120"/>
      <c r="O182" s="120"/>
      <c r="P182" s="206"/>
      <c r="Q182" s="24"/>
      <c r="R182" s="22"/>
      <c r="S182" s="22"/>
      <c r="T182" s="22"/>
      <c r="U182" s="22"/>
      <c r="V182" s="22"/>
      <c r="W182" s="22"/>
      <c r="X182" s="22"/>
      <c r="Y182" s="93"/>
      <c r="Z182" s="93"/>
      <c r="AA182" s="92"/>
      <c r="AB182" s="18"/>
    </row>
    <row r="183" spans="1:29" ht="12.75">
      <c r="A183" s="205">
        <v>139</v>
      </c>
      <c r="B183" s="17">
        <v>1992</v>
      </c>
      <c r="C183" s="19" t="s">
        <v>103</v>
      </c>
      <c r="D183" s="27" t="s">
        <v>104</v>
      </c>
      <c r="E183" s="20">
        <v>3</v>
      </c>
      <c r="F183" s="21" t="s">
        <v>7</v>
      </c>
      <c r="G183" s="21">
        <v>8</v>
      </c>
      <c r="H183" s="21">
        <v>5</v>
      </c>
      <c r="I183" s="21">
        <v>1</v>
      </c>
      <c r="J183" s="21">
        <v>5</v>
      </c>
      <c r="K183" s="21"/>
      <c r="L183" s="19">
        <v>50</v>
      </c>
      <c r="M183" s="21">
        <v>206</v>
      </c>
      <c r="N183" s="120">
        <v>3957.5</v>
      </c>
      <c r="O183" s="120">
        <v>3551.8</v>
      </c>
      <c r="P183" s="207">
        <f>2298.4-0.3</f>
        <v>2298.1</v>
      </c>
      <c r="Q183" s="24"/>
      <c r="R183" s="22"/>
      <c r="S183" s="22"/>
      <c r="T183" s="22"/>
      <c r="U183" s="22"/>
      <c r="V183" s="22">
        <v>351.7</v>
      </c>
      <c r="W183" s="22">
        <v>54</v>
      </c>
      <c r="X183" s="22">
        <f>V183*1.3</f>
        <v>457.21</v>
      </c>
      <c r="Y183" s="58">
        <f aca="true" t="shared" si="43" ref="Y183:Y200">X183/H183*3+W183</f>
        <v>328.32599999999996</v>
      </c>
      <c r="Z183" s="58">
        <f>W183+X183-Y183</f>
        <v>182.88400000000001</v>
      </c>
      <c r="AA183" s="95"/>
      <c r="AB183" s="91">
        <v>64.8</v>
      </c>
      <c r="AC183" s="175">
        <v>1</v>
      </c>
    </row>
    <row r="184" spans="1:29" ht="12.75">
      <c r="A184" s="205">
        <v>140</v>
      </c>
      <c r="B184" s="17">
        <v>1992</v>
      </c>
      <c r="C184" s="19" t="s">
        <v>103</v>
      </c>
      <c r="D184" s="27" t="s">
        <v>104</v>
      </c>
      <c r="E184" s="20" t="s">
        <v>90</v>
      </c>
      <c r="F184" s="21" t="s">
        <v>7</v>
      </c>
      <c r="G184" s="21">
        <v>8</v>
      </c>
      <c r="H184" s="21">
        <v>5</v>
      </c>
      <c r="I184" s="21">
        <v>1</v>
      </c>
      <c r="J184" s="21">
        <v>4</v>
      </c>
      <c r="K184" s="21"/>
      <c r="L184" s="19">
        <v>60</v>
      </c>
      <c r="M184" s="21">
        <v>161</v>
      </c>
      <c r="N184" s="120">
        <f>O184+Q184+S184+U184+V184+W184</f>
        <v>3287.0000000000005</v>
      </c>
      <c r="O184" s="120">
        <f>2962+0.3</f>
        <v>2962.3</v>
      </c>
      <c r="P184" s="207">
        <f>1698.7+0.1</f>
        <v>1698.8</v>
      </c>
      <c r="Q184" s="24"/>
      <c r="R184" s="22"/>
      <c r="S184" s="22"/>
      <c r="T184" s="22"/>
      <c r="U184" s="22"/>
      <c r="V184" s="22">
        <v>280.4</v>
      </c>
      <c r="W184" s="22">
        <v>44.3</v>
      </c>
      <c r="X184" s="22">
        <f aca="true" t="shared" si="44" ref="X184:X228">V184*1.3</f>
        <v>364.52</v>
      </c>
      <c r="Y184" s="58">
        <f t="shared" si="43"/>
        <v>263.012</v>
      </c>
      <c r="Z184" s="58">
        <f>W184+X184-Y184</f>
        <v>145.808</v>
      </c>
      <c r="AA184" s="24"/>
      <c r="AB184" s="26">
        <v>56.2</v>
      </c>
      <c r="AC184" s="175">
        <v>2</v>
      </c>
    </row>
    <row r="185" spans="1:29" ht="12.75">
      <c r="A185" s="205">
        <v>141</v>
      </c>
      <c r="B185" s="17">
        <v>1992</v>
      </c>
      <c r="C185" s="19" t="s">
        <v>105</v>
      </c>
      <c r="D185" s="27" t="s">
        <v>104</v>
      </c>
      <c r="E185" s="20" t="s">
        <v>106</v>
      </c>
      <c r="F185" s="21" t="s">
        <v>7</v>
      </c>
      <c r="G185" s="21">
        <v>8</v>
      </c>
      <c r="H185" s="21">
        <v>5</v>
      </c>
      <c r="I185" s="21">
        <v>1</v>
      </c>
      <c r="J185" s="21">
        <v>4</v>
      </c>
      <c r="K185" s="21"/>
      <c r="L185" s="19">
        <v>60</v>
      </c>
      <c r="M185" s="21">
        <v>171</v>
      </c>
      <c r="N185" s="120">
        <f>O185+Q185+S185+U185+V185+W185</f>
        <v>3300.5000000000005</v>
      </c>
      <c r="O185" s="120">
        <f>2977.6-0.2-1</f>
        <v>2976.4</v>
      </c>
      <c r="P185" s="207">
        <f>1708.6-0-0.5</f>
        <v>1708.1</v>
      </c>
      <c r="Q185" s="24"/>
      <c r="R185" s="22"/>
      <c r="S185" s="22"/>
      <c r="T185" s="22"/>
      <c r="U185" s="22"/>
      <c r="V185" s="22">
        <v>279.8</v>
      </c>
      <c r="W185" s="22">
        <v>44.3</v>
      </c>
      <c r="X185" s="22">
        <f t="shared" si="44"/>
        <v>363.74</v>
      </c>
      <c r="Y185" s="58">
        <f t="shared" si="43"/>
        <v>262.54400000000004</v>
      </c>
      <c r="Z185" s="58">
        <f>W185+X185-Y185</f>
        <v>145.49599999999998</v>
      </c>
      <c r="AA185" s="24"/>
      <c r="AB185" s="26">
        <v>70.6</v>
      </c>
      <c r="AC185" s="175">
        <v>3</v>
      </c>
    </row>
    <row r="186" spans="1:29" ht="12.75">
      <c r="A186" s="205">
        <v>142</v>
      </c>
      <c r="B186" s="17">
        <v>1992</v>
      </c>
      <c r="C186" s="19" t="s">
        <v>16</v>
      </c>
      <c r="D186" s="27" t="s">
        <v>104</v>
      </c>
      <c r="E186" s="20" t="s">
        <v>107</v>
      </c>
      <c r="F186" s="21" t="s">
        <v>7</v>
      </c>
      <c r="G186" s="20">
        <v>9</v>
      </c>
      <c r="H186" s="21">
        <v>5</v>
      </c>
      <c r="I186" s="21">
        <v>1</v>
      </c>
      <c r="J186" s="21">
        <v>4</v>
      </c>
      <c r="K186" s="21"/>
      <c r="L186" s="19">
        <v>60</v>
      </c>
      <c r="M186" s="21">
        <v>133</v>
      </c>
      <c r="N186" s="120">
        <v>3233.7</v>
      </c>
      <c r="O186" s="120">
        <v>2964.7</v>
      </c>
      <c r="P186" s="207">
        <f>1814.5-0.9-1-0.6-0.4-0.4-0.3+0.2</f>
        <v>1811.1</v>
      </c>
      <c r="Q186" s="24"/>
      <c r="R186" s="22"/>
      <c r="S186" s="22"/>
      <c r="T186" s="22"/>
      <c r="U186" s="22"/>
      <c r="V186" s="22">
        <v>269</v>
      </c>
      <c r="W186" s="22"/>
      <c r="X186" s="22">
        <f t="shared" si="44"/>
        <v>349.7</v>
      </c>
      <c r="Y186" s="58">
        <f t="shared" si="43"/>
        <v>209.82</v>
      </c>
      <c r="Z186" s="58">
        <f>W186+X186-Y186</f>
        <v>139.88</v>
      </c>
      <c r="AA186" s="90"/>
      <c r="AB186" s="88">
        <v>37.2</v>
      </c>
      <c r="AC186" s="175">
        <v>4</v>
      </c>
    </row>
    <row r="187" spans="1:29" ht="12.75">
      <c r="A187" s="205">
        <v>143</v>
      </c>
      <c r="B187" s="17">
        <v>1992</v>
      </c>
      <c r="C187" s="19" t="s">
        <v>103</v>
      </c>
      <c r="D187" s="27" t="s">
        <v>104</v>
      </c>
      <c r="E187" s="20">
        <v>5</v>
      </c>
      <c r="F187" s="21" t="s">
        <v>7</v>
      </c>
      <c r="G187" s="21">
        <v>8</v>
      </c>
      <c r="H187" s="21">
        <v>5</v>
      </c>
      <c r="I187" s="21">
        <v>1</v>
      </c>
      <c r="J187" s="21">
        <v>3</v>
      </c>
      <c r="K187" s="21"/>
      <c r="L187" s="19">
        <v>29</v>
      </c>
      <c r="M187" s="21">
        <v>109</v>
      </c>
      <c r="N187" s="120">
        <v>2382.9</v>
      </c>
      <c r="O187" s="120">
        <v>2060.1</v>
      </c>
      <c r="P187" s="207">
        <f>1329.9-0.2+3.3</f>
        <v>1333</v>
      </c>
      <c r="Q187" s="24"/>
      <c r="R187" s="22"/>
      <c r="S187" s="22">
        <v>79.3</v>
      </c>
      <c r="T187" s="22">
        <v>52.1</v>
      </c>
      <c r="U187" s="22"/>
      <c r="V187" s="22">
        <v>210.9</v>
      </c>
      <c r="W187" s="22">
        <v>33.8</v>
      </c>
      <c r="X187" s="22">
        <f t="shared" si="44"/>
        <v>274.17</v>
      </c>
      <c r="Y187" s="58">
        <f t="shared" si="43"/>
        <v>198.30200000000002</v>
      </c>
      <c r="Z187" s="58">
        <f aca="true" t="shared" si="45" ref="Z187:Z228">W187+X187-Y187</f>
        <v>109.668</v>
      </c>
      <c r="AA187" s="24"/>
      <c r="AB187" s="26">
        <v>42.1</v>
      </c>
      <c r="AC187" s="175">
        <v>5</v>
      </c>
    </row>
    <row r="188" spans="1:29" ht="12.75">
      <c r="A188" s="205">
        <v>144</v>
      </c>
      <c r="B188" s="17">
        <v>1991</v>
      </c>
      <c r="C188" s="19" t="s">
        <v>87</v>
      </c>
      <c r="D188" s="27" t="s">
        <v>104</v>
      </c>
      <c r="E188" s="20" t="s">
        <v>108</v>
      </c>
      <c r="F188" s="21" t="s">
        <v>7</v>
      </c>
      <c r="G188" s="21">
        <v>8</v>
      </c>
      <c r="H188" s="21">
        <v>5</v>
      </c>
      <c r="I188" s="21">
        <v>1</v>
      </c>
      <c r="J188" s="21">
        <v>3</v>
      </c>
      <c r="K188" s="21"/>
      <c r="L188" s="19">
        <v>45</v>
      </c>
      <c r="M188" s="21">
        <v>114</v>
      </c>
      <c r="N188" s="120">
        <f>O188+Q188+S188+U188+V188+W188</f>
        <v>2484.2000000000003</v>
      </c>
      <c r="O188" s="120">
        <v>2237.5</v>
      </c>
      <c r="P188" s="207">
        <v>1278.6</v>
      </c>
      <c r="Q188" s="24"/>
      <c r="R188" s="22"/>
      <c r="S188" s="22"/>
      <c r="T188" s="22"/>
      <c r="U188" s="22"/>
      <c r="V188" s="22">
        <v>213.3</v>
      </c>
      <c r="W188" s="22">
        <v>33.4</v>
      </c>
      <c r="X188" s="22">
        <f t="shared" si="44"/>
        <v>277.29</v>
      </c>
      <c r="Y188" s="58">
        <f t="shared" si="43"/>
        <v>199.77400000000003</v>
      </c>
      <c r="Z188" s="58">
        <f t="shared" si="45"/>
        <v>110.91599999999997</v>
      </c>
      <c r="AA188" s="24"/>
      <c r="AB188" s="26">
        <v>43.2</v>
      </c>
      <c r="AC188" s="175">
        <v>6</v>
      </c>
    </row>
    <row r="189" spans="1:29" ht="12.75">
      <c r="A189" s="205">
        <v>145</v>
      </c>
      <c r="B189" s="17">
        <v>1992</v>
      </c>
      <c r="C189" s="19" t="s">
        <v>87</v>
      </c>
      <c r="D189" s="27" t="s">
        <v>104</v>
      </c>
      <c r="E189" s="20" t="s">
        <v>109</v>
      </c>
      <c r="F189" s="21" t="s">
        <v>7</v>
      </c>
      <c r="G189" s="21">
        <v>8</v>
      </c>
      <c r="H189" s="21">
        <v>5</v>
      </c>
      <c r="I189" s="21">
        <v>1</v>
      </c>
      <c r="J189" s="21">
        <v>3</v>
      </c>
      <c r="K189" s="21"/>
      <c r="L189" s="19">
        <v>45</v>
      </c>
      <c r="M189" s="21">
        <v>123</v>
      </c>
      <c r="N189" s="120">
        <f>O189+Q189+S189+U189+V189+W189</f>
        <v>2473.2</v>
      </c>
      <c r="O189" s="120">
        <f>2227.7-0.4</f>
        <v>2227.2999999999997</v>
      </c>
      <c r="P189" s="207">
        <f>1274.5-0.1</f>
        <v>1274.4</v>
      </c>
      <c r="Q189" s="24"/>
      <c r="R189" s="22"/>
      <c r="S189" s="22"/>
      <c r="T189" s="22"/>
      <c r="U189" s="22"/>
      <c r="V189" s="22">
        <v>212.1</v>
      </c>
      <c r="W189" s="22">
        <v>33.8</v>
      </c>
      <c r="X189" s="22">
        <f t="shared" si="44"/>
        <v>275.73</v>
      </c>
      <c r="Y189" s="58">
        <f t="shared" si="43"/>
        <v>199.238</v>
      </c>
      <c r="Z189" s="58">
        <f t="shared" si="45"/>
        <v>110.29200000000003</v>
      </c>
      <c r="AA189" s="24"/>
      <c r="AB189" s="26">
        <v>43.2</v>
      </c>
      <c r="AC189" s="175">
        <v>7</v>
      </c>
    </row>
    <row r="190" spans="1:29" ht="12.75">
      <c r="A190" s="205">
        <v>146</v>
      </c>
      <c r="B190" s="17">
        <v>1992</v>
      </c>
      <c r="C190" s="19" t="s">
        <v>16</v>
      </c>
      <c r="D190" s="27" t="s">
        <v>104</v>
      </c>
      <c r="E190" s="20">
        <v>7</v>
      </c>
      <c r="F190" s="21" t="s">
        <v>7</v>
      </c>
      <c r="G190" s="21">
        <v>8</v>
      </c>
      <c r="H190" s="21">
        <v>5</v>
      </c>
      <c r="I190" s="21">
        <v>1</v>
      </c>
      <c r="J190" s="21">
        <v>4</v>
      </c>
      <c r="K190" s="21"/>
      <c r="L190" s="19">
        <v>60</v>
      </c>
      <c r="M190" s="21">
        <v>149</v>
      </c>
      <c r="N190" s="120">
        <f>O190+Q190+S190+U190+V190+W190</f>
        <v>3286.0000000000005</v>
      </c>
      <c r="O190" s="120">
        <f>2962.4-0.2-0.2</f>
        <v>2962.0000000000005</v>
      </c>
      <c r="P190" s="206">
        <f>1697.7-0.1-0.1</f>
        <v>1697.5000000000002</v>
      </c>
      <c r="Q190" s="24"/>
      <c r="R190" s="22"/>
      <c r="S190" s="22"/>
      <c r="T190" s="22"/>
      <c r="U190" s="22"/>
      <c r="V190" s="22">
        <v>279.8</v>
      </c>
      <c r="W190" s="22">
        <v>44.2</v>
      </c>
      <c r="X190" s="22">
        <f t="shared" si="44"/>
        <v>363.74</v>
      </c>
      <c r="Y190" s="58">
        <f t="shared" si="43"/>
        <v>262.444</v>
      </c>
      <c r="Z190" s="58">
        <f t="shared" si="45"/>
        <v>145.49599999999998</v>
      </c>
      <c r="AA190" s="24"/>
      <c r="AB190" s="26">
        <v>60.8</v>
      </c>
      <c r="AC190" s="175">
        <v>8</v>
      </c>
    </row>
    <row r="191" spans="1:29" ht="12.75">
      <c r="A191" s="205">
        <v>147</v>
      </c>
      <c r="B191" s="17">
        <v>1992</v>
      </c>
      <c r="C191" s="19" t="s">
        <v>103</v>
      </c>
      <c r="D191" s="27" t="s">
        <v>104</v>
      </c>
      <c r="E191" s="20">
        <v>9</v>
      </c>
      <c r="F191" s="21" t="s">
        <v>7</v>
      </c>
      <c r="G191" s="21">
        <v>8</v>
      </c>
      <c r="H191" s="21">
        <v>5</v>
      </c>
      <c r="I191" s="21">
        <v>1</v>
      </c>
      <c r="J191" s="21">
        <v>6</v>
      </c>
      <c r="K191" s="21"/>
      <c r="L191" s="19">
        <v>58</v>
      </c>
      <c r="M191" s="21">
        <v>209</v>
      </c>
      <c r="N191" s="120">
        <v>4784.61</v>
      </c>
      <c r="O191" s="120">
        <f>4141-1.6-0.5-0.5+0.4</f>
        <v>4138.799999999999</v>
      </c>
      <c r="P191" s="207">
        <f>2654.5-0.5-0.4-0.2+3.8</f>
        <v>2657.2000000000003</v>
      </c>
      <c r="Q191" s="24"/>
      <c r="R191" s="22"/>
      <c r="S191" s="22">
        <f>79.7+79.8</f>
        <v>159.5</v>
      </c>
      <c r="T191" s="22">
        <f>52.4+52.4</f>
        <v>104.8</v>
      </c>
      <c r="U191" s="22"/>
      <c r="V191" s="22">
        <v>422.9</v>
      </c>
      <c r="W191" s="22">
        <v>67.5</v>
      </c>
      <c r="X191" s="22">
        <f t="shared" si="44"/>
        <v>549.77</v>
      </c>
      <c r="Y191" s="58">
        <f t="shared" si="43"/>
        <v>397.36199999999997</v>
      </c>
      <c r="Z191" s="58">
        <f t="shared" si="45"/>
        <v>219.90800000000002</v>
      </c>
      <c r="AA191" s="24"/>
      <c r="AB191" s="26">
        <v>84.2</v>
      </c>
      <c r="AC191" s="175">
        <v>9</v>
      </c>
    </row>
    <row r="192" spans="1:29" ht="12.75">
      <c r="A192" s="205">
        <v>148</v>
      </c>
      <c r="B192" s="17">
        <v>1991</v>
      </c>
      <c r="C192" s="19" t="s">
        <v>58</v>
      </c>
      <c r="D192" s="27" t="s">
        <v>104</v>
      </c>
      <c r="E192" s="20" t="s">
        <v>110</v>
      </c>
      <c r="F192" s="21" t="s">
        <v>7</v>
      </c>
      <c r="G192" s="21">
        <v>8</v>
      </c>
      <c r="H192" s="21">
        <v>5</v>
      </c>
      <c r="I192" s="21">
        <v>1</v>
      </c>
      <c r="J192" s="21">
        <v>5</v>
      </c>
      <c r="K192" s="21"/>
      <c r="L192" s="19">
        <v>75</v>
      </c>
      <c r="M192" s="21">
        <v>208</v>
      </c>
      <c r="N192" s="120">
        <v>4127.07</v>
      </c>
      <c r="O192" s="120">
        <v>3686.5</v>
      </c>
      <c r="P192" s="207">
        <f>2111.5-0.2-0.1-0.4-0.1+2.8</f>
        <v>2113.5000000000005</v>
      </c>
      <c r="Q192" s="24"/>
      <c r="R192" s="22"/>
      <c r="S192" s="22">
        <v>34.4</v>
      </c>
      <c r="T192" s="22">
        <v>17.5</v>
      </c>
      <c r="U192" s="22"/>
      <c r="V192" s="22">
        <v>353.2</v>
      </c>
      <c r="W192" s="22">
        <v>54.4</v>
      </c>
      <c r="X192" s="22">
        <f t="shared" si="44"/>
        <v>459.16</v>
      </c>
      <c r="Y192" s="58">
        <f t="shared" si="43"/>
        <v>329.896</v>
      </c>
      <c r="Z192" s="58">
        <f t="shared" si="45"/>
        <v>183.66400000000004</v>
      </c>
      <c r="AA192" s="24"/>
      <c r="AB192" s="26">
        <v>70.2</v>
      </c>
      <c r="AC192" s="175">
        <v>10</v>
      </c>
    </row>
    <row r="193" spans="1:29" ht="12.75">
      <c r="A193" s="205">
        <v>149</v>
      </c>
      <c r="B193" s="17">
        <v>1991</v>
      </c>
      <c r="C193" s="19" t="s">
        <v>58</v>
      </c>
      <c r="D193" s="27" t="s">
        <v>104</v>
      </c>
      <c r="E193" s="20" t="s">
        <v>111</v>
      </c>
      <c r="F193" s="21" t="s">
        <v>7</v>
      </c>
      <c r="G193" s="21">
        <v>8</v>
      </c>
      <c r="H193" s="21">
        <v>5</v>
      </c>
      <c r="I193" s="21">
        <v>1</v>
      </c>
      <c r="J193" s="21">
        <v>4</v>
      </c>
      <c r="K193" s="21"/>
      <c r="L193" s="19">
        <v>60</v>
      </c>
      <c r="M193" s="21">
        <v>176</v>
      </c>
      <c r="N193" s="120">
        <v>3303.1</v>
      </c>
      <c r="O193" s="120">
        <v>2978.7</v>
      </c>
      <c r="P193" s="207">
        <f>1711.1-0.1</f>
        <v>1711</v>
      </c>
      <c r="Q193" s="24"/>
      <c r="R193" s="22"/>
      <c r="S193" s="22"/>
      <c r="T193" s="22"/>
      <c r="U193" s="22"/>
      <c r="V193" s="22">
        <v>280.2</v>
      </c>
      <c r="W193" s="22">
        <v>44.2</v>
      </c>
      <c r="X193" s="22">
        <f t="shared" si="44"/>
        <v>364.26</v>
      </c>
      <c r="Y193" s="58">
        <f t="shared" si="43"/>
        <v>262.75600000000003</v>
      </c>
      <c r="Z193" s="58">
        <f t="shared" si="45"/>
        <v>145.70399999999995</v>
      </c>
      <c r="AA193" s="24"/>
      <c r="AB193" s="26">
        <v>67.2</v>
      </c>
      <c r="AC193" s="175">
        <v>11</v>
      </c>
    </row>
    <row r="194" spans="1:29" ht="12.75">
      <c r="A194" s="205">
        <v>150</v>
      </c>
      <c r="B194" s="17">
        <v>1991</v>
      </c>
      <c r="C194" s="19" t="s">
        <v>58</v>
      </c>
      <c r="D194" s="27" t="s">
        <v>104</v>
      </c>
      <c r="E194" s="20" t="s">
        <v>112</v>
      </c>
      <c r="F194" s="21" t="s">
        <v>7</v>
      </c>
      <c r="G194" s="21">
        <v>8</v>
      </c>
      <c r="H194" s="21">
        <v>5</v>
      </c>
      <c r="I194" s="21">
        <v>1</v>
      </c>
      <c r="J194" s="21">
        <v>6</v>
      </c>
      <c r="K194" s="21"/>
      <c r="L194" s="19">
        <v>90</v>
      </c>
      <c r="M194" s="21">
        <v>267</v>
      </c>
      <c r="N194" s="120">
        <v>4967.9</v>
      </c>
      <c r="O194" s="120">
        <v>4475.1</v>
      </c>
      <c r="P194" s="207">
        <f>2579.5-0.2-0.3-0.4-0.4-0.2-0.3</f>
        <v>2577.7</v>
      </c>
      <c r="Q194" s="24"/>
      <c r="R194" s="22"/>
      <c r="S194" s="22"/>
      <c r="T194" s="22"/>
      <c r="U194" s="22"/>
      <c r="V194" s="22">
        <v>424.3</v>
      </c>
      <c r="W194" s="22">
        <v>68.5</v>
      </c>
      <c r="X194" s="22">
        <f t="shared" si="44"/>
        <v>551.59</v>
      </c>
      <c r="Y194" s="58">
        <f t="shared" si="43"/>
        <v>399.45400000000006</v>
      </c>
      <c r="Z194" s="58">
        <f t="shared" si="45"/>
        <v>220.63599999999997</v>
      </c>
      <c r="AA194" s="24"/>
      <c r="AB194" s="26">
        <v>49.1</v>
      </c>
      <c r="AC194" s="175">
        <v>12</v>
      </c>
    </row>
    <row r="195" spans="1:29" ht="12.75">
      <c r="A195" s="205">
        <v>151</v>
      </c>
      <c r="B195" s="17">
        <v>1991</v>
      </c>
      <c r="C195" s="19" t="s">
        <v>58</v>
      </c>
      <c r="D195" s="27" t="s">
        <v>104</v>
      </c>
      <c r="E195" s="20" t="s">
        <v>113</v>
      </c>
      <c r="F195" s="21" t="s">
        <v>7</v>
      </c>
      <c r="G195" s="21">
        <v>8</v>
      </c>
      <c r="H195" s="21">
        <v>5</v>
      </c>
      <c r="I195" s="21">
        <v>1</v>
      </c>
      <c r="J195" s="21">
        <v>3</v>
      </c>
      <c r="K195" s="21"/>
      <c r="L195" s="19">
        <v>45</v>
      </c>
      <c r="M195" s="21">
        <v>101</v>
      </c>
      <c r="N195" s="120">
        <v>2477.3</v>
      </c>
      <c r="O195" s="120">
        <v>2234.2</v>
      </c>
      <c r="P195" s="207">
        <v>1281.2</v>
      </c>
      <c r="Q195" s="24"/>
      <c r="R195" s="22"/>
      <c r="S195" s="22"/>
      <c r="T195" s="22"/>
      <c r="U195" s="22"/>
      <c r="V195" s="22">
        <v>209.6</v>
      </c>
      <c r="W195" s="22">
        <v>33.5</v>
      </c>
      <c r="X195" s="22">
        <f t="shared" si="44"/>
        <v>272.48</v>
      </c>
      <c r="Y195" s="58">
        <f t="shared" si="43"/>
        <v>196.988</v>
      </c>
      <c r="Z195" s="58">
        <f t="shared" si="45"/>
        <v>108.99200000000002</v>
      </c>
      <c r="AA195" s="24"/>
      <c r="AB195" s="26">
        <v>86.4</v>
      </c>
      <c r="AC195" s="175">
        <v>13</v>
      </c>
    </row>
    <row r="196" spans="1:29" ht="15" customHeight="1">
      <c r="A196" s="205">
        <v>152</v>
      </c>
      <c r="B196" s="17">
        <v>1992</v>
      </c>
      <c r="C196" s="19" t="s">
        <v>103</v>
      </c>
      <c r="D196" s="27" t="s">
        <v>104</v>
      </c>
      <c r="E196" s="20">
        <v>13</v>
      </c>
      <c r="F196" s="21" t="s">
        <v>7</v>
      </c>
      <c r="G196" s="21">
        <v>8</v>
      </c>
      <c r="H196" s="21">
        <v>5</v>
      </c>
      <c r="I196" s="21">
        <v>1</v>
      </c>
      <c r="J196" s="21">
        <v>5</v>
      </c>
      <c r="K196" s="21"/>
      <c r="L196" s="19">
        <v>49</v>
      </c>
      <c r="M196" s="21">
        <v>175</v>
      </c>
      <c r="N196" s="120">
        <v>4054.9</v>
      </c>
      <c r="O196" s="120">
        <v>3469.3</v>
      </c>
      <c r="P196" s="207">
        <f>2246-0.1+0.4</f>
        <v>2246.3</v>
      </c>
      <c r="Q196" s="24"/>
      <c r="R196" s="22"/>
      <c r="S196" s="22"/>
      <c r="T196" s="22"/>
      <c r="U196" s="22"/>
      <c r="V196" s="22">
        <v>365.6</v>
      </c>
      <c r="W196" s="22">
        <v>55.1</v>
      </c>
      <c r="X196" s="22">
        <f t="shared" si="44"/>
        <v>475.28000000000003</v>
      </c>
      <c r="Y196" s="58">
        <f t="shared" si="43"/>
        <v>340.26800000000003</v>
      </c>
      <c r="Z196" s="58">
        <f t="shared" si="45"/>
        <v>190.11199999999997</v>
      </c>
      <c r="AA196" s="24"/>
      <c r="AB196" s="26">
        <v>86.4</v>
      </c>
      <c r="AC196" s="175">
        <v>14</v>
      </c>
    </row>
    <row r="197" spans="1:29" ht="12.75">
      <c r="A197" s="205">
        <v>153</v>
      </c>
      <c r="B197" s="17">
        <v>1991</v>
      </c>
      <c r="C197" s="19" t="s">
        <v>58</v>
      </c>
      <c r="D197" s="27" t="s">
        <v>104</v>
      </c>
      <c r="E197" s="20" t="s">
        <v>114</v>
      </c>
      <c r="F197" s="21" t="s">
        <v>7</v>
      </c>
      <c r="G197" s="21">
        <v>8</v>
      </c>
      <c r="H197" s="21">
        <v>5</v>
      </c>
      <c r="I197" s="21">
        <v>1</v>
      </c>
      <c r="J197" s="21">
        <v>4</v>
      </c>
      <c r="K197" s="21"/>
      <c r="L197" s="19">
        <v>60</v>
      </c>
      <c r="M197" s="21">
        <v>157</v>
      </c>
      <c r="N197" s="120">
        <v>3290.5</v>
      </c>
      <c r="O197" s="120">
        <v>2965.8</v>
      </c>
      <c r="P197" s="207">
        <f>1710.8+0.1</f>
        <v>1710.8999999999999</v>
      </c>
      <c r="Q197" s="24"/>
      <c r="R197" s="22"/>
      <c r="S197" s="22"/>
      <c r="T197" s="22"/>
      <c r="U197" s="22"/>
      <c r="V197" s="22">
        <v>280.3</v>
      </c>
      <c r="W197" s="22">
        <v>44.4</v>
      </c>
      <c r="X197" s="22">
        <f t="shared" si="44"/>
        <v>364.39000000000004</v>
      </c>
      <c r="Y197" s="58">
        <f t="shared" si="43"/>
        <v>263.03400000000005</v>
      </c>
      <c r="Z197" s="58">
        <f t="shared" si="45"/>
        <v>145.75599999999997</v>
      </c>
      <c r="AA197" s="24"/>
      <c r="AB197" s="26">
        <v>65.5</v>
      </c>
      <c r="AC197" s="175">
        <v>15</v>
      </c>
    </row>
    <row r="198" spans="1:29" ht="12.75">
      <c r="A198" s="205">
        <v>154</v>
      </c>
      <c r="B198" s="17">
        <v>1995</v>
      </c>
      <c r="C198" s="19" t="s">
        <v>29</v>
      </c>
      <c r="D198" s="27" t="s">
        <v>104</v>
      </c>
      <c r="E198" s="20" t="s">
        <v>40</v>
      </c>
      <c r="F198" s="21" t="s">
        <v>7</v>
      </c>
      <c r="G198" s="20">
        <v>9</v>
      </c>
      <c r="H198" s="21">
        <v>5</v>
      </c>
      <c r="I198" s="21">
        <v>1</v>
      </c>
      <c r="J198" s="21">
        <v>5</v>
      </c>
      <c r="K198" s="21"/>
      <c r="L198" s="19">
        <v>50</v>
      </c>
      <c r="M198" s="21">
        <v>164</v>
      </c>
      <c r="N198" s="120">
        <v>4070.3</v>
      </c>
      <c r="O198" s="120">
        <v>3722.6</v>
      </c>
      <c r="P198" s="207">
        <f>2553.3+0.3-0.3</f>
        <v>2553.3</v>
      </c>
      <c r="Q198" s="24"/>
      <c r="R198" s="22"/>
      <c r="S198" s="22"/>
      <c r="T198" s="22"/>
      <c r="U198" s="22"/>
      <c r="V198" s="22">
        <v>347.7</v>
      </c>
      <c r="W198" s="22"/>
      <c r="X198" s="22">
        <f t="shared" si="44"/>
        <v>452.01</v>
      </c>
      <c r="Y198" s="58">
        <f t="shared" si="43"/>
        <v>271.206</v>
      </c>
      <c r="Z198" s="58">
        <f t="shared" si="45"/>
        <v>180.80399999999997</v>
      </c>
      <c r="AA198" s="24"/>
      <c r="AB198" s="26">
        <v>80.7</v>
      </c>
      <c r="AC198" s="175">
        <v>16</v>
      </c>
    </row>
    <row r="199" spans="1:29" ht="12.75">
      <c r="A199" s="205">
        <v>155</v>
      </c>
      <c r="B199" s="17">
        <v>1993</v>
      </c>
      <c r="C199" s="19" t="s">
        <v>115</v>
      </c>
      <c r="D199" s="27" t="s">
        <v>104</v>
      </c>
      <c r="E199" s="20">
        <v>17</v>
      </c>
      <c r="F199" s="21" t="s">
        <v>7</v>
      </c>
      <c r="G199" s="21">
        <v>8</v>
      </c>
      <c r="H199" s="21">
        <v>5</v>
      </c>
      <c r="I199" s="21">
        <v>1</v>
      </c>
      <c r="J199" s="21">
        <v>5</v>
      </c>
      <c r="K199" s="21"/>
      <c r="L199" s="19">
        <v>49</v>
      </c>
      <c r="M199" s="21">
        <v>168</v>
      </c>
      <c r="N199" s="120">
        <v>3918</v>
      </c>
      <c r="O199" s="120">
        <v>3505.3</v>
      </c>
      <c r="P199" s="207">
        <v>2259.4</v>
      </c>
      <c r="Q199" s="24"/>
      <c r="R199" s="22"/>
      <c r="S199" s="22">
        <v>80.5</v>
      </c>
      <c r="T199" s="22">
        <v>52.8</v>
      </c>
      <c r="U199" s="22"/>
      <c r="V199" s="22">
        <v>355.8</v>
      </c>
      <c r="W199" s="22">
        <v>55.6</v>
      </c>
      <c r="X199" s="22">
        <f t="shared" si="44"/>
        <v>462.54</v>
      </c>
      <c r="Y199" s="58">
        <f t="shared" si="43"/>
        <v>333.124</v>
      </c>
      <c r="Z199" s="58">
        <f t="shared" si="45"/>
        <v>185.01599999999996</v>
      </c>
      <c r="AA199" s="24"/>
      <c r="AB199" s="26">
        <v>70.2</v>
      </c>
      <c r="AC199" s="175">
        <v>17</v>
      </c>
    </row>
    <row r="200" spans="1:29" ht="12.75">
      <c r="A200" s="205">
        <v>156</v>
      </c>
      <c r="B200" s="17">
        <v>1993</v>
      </c>
      <c r="C200" s="19" t="s">
        <v>115</v>
      </c>
      <c r="D200" s="27" t="s">
        <v>104</v>
      </c>
      <c r="E200" s="20" t="s">
        <v>116</v>
      </c>
      <c r="F200" s="21" t="s">
        <v>7</v>
      </c>
      <c r="G200" s="21">
        <v>8</v>
      </c>
      <c r="H200" s="21">
        <v>5</v>
      </c>
      <c r="I200" s="21">
        <v>1</v>
      </c>
      <c r="J200" s="21">
        <v>4</v>
      </c>
      <c r="K200" s="21"/>
      <c r="L200" s="19">
        <v>60</v>
      </c>
      <c r="M200" s="21">
        <v>159</v>
      </c>
      <c r="N200" s="120">
        <v>3301</v>
      </c>
      <c r="O200" s="120">
        <v>2975.2</v>
      </c>
      <c r="P200" s="207">
        <f>1704.6-0.3</f>
        <v>1704.3</v>
      </c>
      <c r="Q200" s="24"/>
      <c r="R200" s="22"/>
      <c r="S200" s="22"/>
      <c r="T200" s="22"/>
      <c r="U200" s="22"/>
      <c r="V200" s="22">
        <v>281.5</v>
      </c>
      <c r="W200" s="22">
        <v>44.3</v>
      </c>
      <c r="X200" s="22">
        <f t="shared" si="44"/>
        <v>365.95</v>
      </c>
      <c r="Y200" s="58">
        <f t="shared" si="43"/>
        <v>263.87</v>
      </c>
      <c r="Z200" s="58">
        <f t="shared" si="45"/>
        <v>146.38</v>
      </c>
      <c r="AA200" s="24"/>
      <c r="AB200" s="26">
        <v>56.2</v>
      </c>
      <c r="AC200" s="175">
        <v>18</v>
      </c>
    </row>
    <row r="201" spans="1:29" ht="12.75">
      <c r="A201" s="205">
        <v>157</v>
      </c>
      <c r="B201" s="17">
        <v>1993</v>
      </c>
      <c r="C201" s="19" t="s">
        <v>115</v>
      </c>
      <c r="D201" s="27" t="s">
        <v>104</v>
      </c>
      <c r="E201" s="20" t="s">
        <v>41</v>
      </c>
      <c r="F201" s="21" t="s">
        <v>7</v>
      </c>
      <c r="G201" s="21">
        <v>8</v>
      </c>
      <c r="H201" s="21">
        <v>5</v>
      </c>
      <c r="I201" s="21">
        <v>1</v>
      </c>
      <c r="J201" s="21">
        <v>3</v>
      </c>
      <c r="K201" s="21"/>
      <c r="L201" s="19">
        <v>30</v>
      </c>
      <c r="M201" s="21">
        <v>109</v>
      </c>
      <c r="N201" s="120">
        <v>2411.89</v>
      </c>
      <c r="O201" s="120">
        <v>2164.09</v>
      </c>
      <c r="P201" s="207">
        <v>1386.1</v>
      </c>
      <c r="Q201" s="24"/>
      <c r="R201" s="22"/>
      <c r="S201" s="22"/>
      <c r="T201" s="22"/>
      <c r="U201" s="22"/>
      <c r="V201" s="22">
        <v>214.5</v>
      </c>
      <c r="W201" s="22">
        <v>33.3</v>
      </c>
      <c r="X201" s="22">
        <f t="shared" si="44"/>
        <v>278.85</v>
      </c>
      <c r="Y201" s="58">
        <f>X201/H201*3+W201</f>
        <v>200.61</v>
      </c>
      <c r="Z201" s="58">
        <f t="shared" si="45"/>
        <v>111.54000000000002</v>
      </c>
      <c r="AA201" s="24"/>
      <c r="AB201" s="26">
        <v>42.1</v>
      </c>
      <c r="AC201" s="175">
        <v>20</v>
      </c>
    </row>
    <row r="202" spans="1:29" ht="12.75">
      <c r="A202" s="205">
        <v>158</v>
      </c>
      <c r="B202" s="17">
        <v>1994</v>
      </c>
      <c r="C202" s="19" t="s">
        <v>117</v>
      </c>
      <c r="D202" s="27" t="s">
        <v>104</v>
      </c>
      <c r="E202" s="20">
        <v>21</v>
      </c>
      <c r="F202" s="21" t="s">
        <v>7</v>
      </c>
      <c r="G202" s="21">
        <v>8</v>
      </c>
      <c r="H202" s="21">
        <v>5</v>
      </c>
      <c r="I202" s="21">
        <v>1</v>
      </c>
      <c r="J202" s="21">
        <v>6</v>
      </c>
      <c r="K202" s="21"/>
      <c r="L202" s="19">
        <v>59</v>
      </c>
      <c r="M202" s="21">
        <v>212</v>
      </c>
      <c r="N202" s="120">
        <v>4805.8</v>
      </c>
      <c r="O202" s="120">
        <v>4236.6</v>
      </c>
      <c r="P202" s="207">
        <f>2776.3-17.4-35.2-0.8</f>
        <v>2722.9</v>
      </c>
      <c r="Q202" s="24"/>
      <c r="R202" s="22"/>
      <c r="S202" s="22"/>
      <c r="T202" s="22"/>
      <c r="U202" s="22">
        <v>80.4</v>
      </c>
      <c r="V202" s="22">
        <v>411.9</v>
      </c>
      <c r="W202" s="22">
        <v>67.3</v>
      </c>
      <c r="X202" s="22">
        <f t="shared" si="44"/>
        <v>535.47</v>
      </c>
      <c r="Y202" s="58">
        <f>X202/H202*3+W202</f>
        <v>388.58200000000005</v>
      </c>
      <c r="Z202" s="58">
        <f t="shared" si="45"/>
        <v>214.18799999999993</v>
      </c>
      <c r="AA202" s="24"/>
      <c r="AB202" s="26">
        <v>79.56</v>
      </c>
      <c r="AC202" s="175">
        <v>21</v>
      </c>
    </row>
    <row r="203" spans="1:29" ht="12.75">
      <c r="A203" s="205">
        <v>159</v>
      </c>
      <c r="B203" s="17">
        <v>1993</v>
      </c>
      <c r="C203" s="19" t="s">
        <v>118</v>
      </c>
      <c r="D203" s="27" t="s">
        <v>104</v>
      </c>
      <c r="E203" s="20" t="s">
        <v>42</v>
      </c>
      <c r="F203" s="21" t="s">
        <v>7</v>
      </c>
      <c r="G203" s="21">
        <v>8</v>
      </c>
      <c r="H203" s="21">
        <v>5</v>
      </c>
      <c r="I203" s="21">
        <v>1</v>
      </c>
      <c r="J203" s="21">
        <v>4</v>
      </c>
      <c r="K203" s="21"/>
      <c r="L203" s="19">
        <v>60</v>
      </c>
      <c r="M203" s="21">
        <v>172</v>
      </c>
      <c r="N203" s="120">
        <v>3329.8</v>
      </c>
      <c r="O203" s="120">
        <v>3002.2</v>
      </c>
      <c r="P203" s="207">
        <f>1722.1-0.5</f>
        <v>1721.6</v>
      </c>
      <c r="Q203" s="24"/>
      <c r="R203" s="22"/>
      <c r="S203" s="22"/>
      <c r="T203" s="22"/>
      <c r="U203" s="22"/>
      <c r="V203" s="22">
        <v>283.4</v>
      </c>
      <c r="W203" s="22">
        <v>44.2</v>
      </c>
      <c r="X203" s="22">
        <f t="shared" si="44"/>
        <v>368.41999999999996</v>
      </c>
      <c r="Y203" s="58">
        <f>X203/H203*3+W203</f>
        <v>265.252</v>
      </c>
      <c r="Z203" s="58">
        <f t="shared" si="45"/>
        <v>147.36799999999994</v>
      </c>
      <c r="AA203" s="24"/>
      <c r="AB203" s="26">
        <v>56.2</v>
      </c>
      <c r="AC203" s="175">
        <v>22</v>
      </c>
    </row>
    <row r="204" spans="1:29" ht="12.75">
      <c r="A204" s="205">
        <v>160</v>
      </c>
      <c r="B204" s="17">
        <v>1993</v>
      </c>
      <c r="C204" s="19" t="s">
        <v>115</v>
      </c>
      <c r="D204" s="27" t="s">
        <v>104</v>
      </c>
      <c r="E204" s="20" t="s">
        <v>119</v>
      </c>
      <c r="F204" s="21" t="s">
        <v>7</v>
      </c>
      <c r="G204" s="21">
        <v>8</v>
      </c>
      <c r="H204" s="21">
        <v>5</v>
      </c>
      <c r="I204" s="21">
        <v>1</v>
      </c>
      <c r="J204" s="21">
        <v>3</v>
      </c>
      <c r="K204" s="21"/>
      <c r="L204" s="19">
        <v>45</v>
      </c>
      <c r="M204" s="21">
        <v>117</v>
      </c>
      <c r="N204" s="120">
        <v>2492.4</v>
      </c>
      <c r="O204" s="120">
        <v>2244.5</v>
      </c>
      <c r="P204" s="207">
        <f>1288.5-0.5</f>
        <v>1288</v>
      </c>
      <c r="Q204" s="24"/>
      <c r="R204" s="22"/>
      <c r="S204" s="22"/>
      <c r="T204" s="22"/>
      <c r="U204" s="22"/>
      <c r="V204" s="22">
        <v>214.8</v>
      </c>
      <c r="W204" s="22">
        <v>33.1</v>
      </c>
      <c r="X204" s="22">
        <f t="shared" si="44"/>
        <v>279.24</v>
      </c>
      <c r="Y204" s="58">
        <f>X204/H204*3+W204</f>
        <v>200.64399999999998</v>
      </c>
      <c r="Z204" s="58">
        <f t="shared" si="45"/>
        <v>111.69600000000005</v>
      </c>
      <c r="AA204" s="24"/>
      <c r="AB204" s="26">
        <v>42.1</v>
      </c>
      <c r="AC204" s="175">
        <v>23</v>
      </c>
    </row>
    <row r="205" spans="1:29" ht="12.75">
      <c r="A205" s="205">
        <v>161</v>
      </c>
      <c r="B205" s="17">
        <v>1997</v>
      </c>
      <c r="C205" s="19" t="s">
        <v>120</v>
      </c>
      <c r="D205" s="27" t="s">
        <v>121</v>
      </c>
      <c r="E205" s="20">
        <v>20</v>
      </c>
      <c r="F205" s="21" t="s">
        <v>7</v>
      </c>
      <c r="G205" s="20">
        <v>1</v>
      </c>
      <c r="H205" s="45" t="s">
        <v>122</v>
      </c>
      <c r="I205" s="21">
        <v>1</v>
      </c>
      <c r="J205" s="46">
        <v>2</v>
      </c>
      <c r="K205" s="46"/>
      <c r="L205" s="19">
        <v>48</v>
      </c>
      <c r="M205" s="21">
        <v>114</v>
      </c>
      <c r="N205" s="120">
        <v>3665.5</v>
      </c>
      <c r="O205" s="120">
        <v>3191.2</v>
      </c>
      <c r="P205" s="206">
        <f>1738.2+0.3+9.5-0.3+8.7</f>
        <v>1756.4</v>
      </c>
      <c r="Q205" s="24"/>
      <c r="R205" s="22"/>
      <c r="S205" s="22">
        <v>157.5</v>
      </c>
      <c r="T205" s="22">
        <v>91.5</v>
      </c>
      <c r="U205" s="22"/>
      <c r="V205" s="22">
        <v>183.8</v>
      </c>
      <c r="W205" s="22">
        <v>85.5</v>
      </c>
      <c r="X205" s="22">
        <f t="shared" si="44"/>
        <v>238.94000000000003</v>
      </c>
      <c r="Y205" s="58">
        <f>X205/5*3+2.9+2.9+3.2+3.2+3.9+4+(90.1-2.9-2.9-3.2-3.2-3.9-4)/5*2</f>
        <v>191.464</v>
      </c>
      <c r="Z205" s="58">
        <f t="shared" si="45"/>
        <v>132.97600000000006</v>
      </c>
      <c r="AA205" s="24"/>
      <c r="AB205" s="26">
        <v>249.1</v>
      </c>
      <c r="AC205" s="175">
        <v>24</v>
      </c>
    </row>
    <row r="206" spans="1:29" ht="12.75">
      <c r="A206" s="205">
        <v>162</v>
      </c>
      <c r="B206" s="17">
        <v>1996</v>
      </c>
      <c r="C206" s="19" t="s">
        <v>123</v>
      </c>
      <c r="D206" s="27" t="s">
        <v>121</v>
      </c>
      <c r="E206" s="20" t="s">
        <v>124</v>
      </c>
      <c r="F206" s="21" t="s">
        <v>7</v>
      </c>
      <c r="G206" s="20">
        <v>1</v>
      </c>
      <c r="H206" s="20">
        <v>9</v>
      </c>
      <c r="I206" s="21">
        <v>1</v>
      </c>
      <c r="J206" s="20">
        <v>2</v>
      </c>
      <c r="K206" s="20"/>
      <c r="L206" s="19">
        <v>68</v>
      </c>
      <c r="M206" s="21">
        <v>206</v>
      </c>
      <c r="N206" s="120">
        <v>5425.1</v>
      </c>
      <c r="O206" s="120">
        <v>4713.9</v>
      </c>
      <c r="P206" s="206">
        <f>2606.2+0-0.1+0.1-8.4-0.3</f>
        <v>2597.4999999999995</v>
      </c>
      <c r="Q206" s="24"/>
      <c r="R206" s="22"/>
      <c r="S206" s="22">
        <f>197.7+37.7</f>
        <v>235.39999999999998</v>
      </c>
      <c r="T206" s="22">
        <f>123.7+27.3</f>
        <v>151</v>
      </c>
      <c r="U206" s="22"/>
      <c r="V206" s="22">
        <v>264.1</v>
      </c>
      <c r="W206" s="22">
        <v>203.2</v>
      </c>
      <c r="X206" s="22">
        <f t="shared" si="44"/>
        <v>343.33000000000004</v>
      </c>
      <c r="Y206" s="58">
        <f>X206/H206*4+21.1+20.5+20.2/8*3</f>
        <v>201.76611111111112</v>
      </c>
      <c r="Z206" s="58">
        <f t="shared" si="45"/>
        <v>344.76388888888886</v>
      </c>
      <c r="AA206" s="24"/>
      <c r="AB206" s="26">
        <v>407.4</v>
      </c>
      <c r="AC206" s="175">
        <v>25</v>
      </c>
    </row>
    <row r="207" spans="1:29" ht="12.75">
      <c r="A207" s="205">
        <v>163</v>
      </c>
      <c r="B207" s="17">
        <v>1993</v>
      </c>
      <c r="C207" s="19" t="s">
        <v>125</v>
      </c>
      <c r="D207" s="27" t="s">
        <v>89</v>
      </c>
      <c r="E207" s="20">
        <v>26</v>
      </c>
      <c r="F207" s="21" t="s">
        <v>7</v>
      </c>
      <c r="G207" s="21">
        <v>8</v>
      </c>
      <c r="H207" s="21">
        <v>5</v>
      </c>
      <c r="I207" s="21">
        <v>1</v>
      </c>
      <c r="J207" s="21">
        <v>5</v>
      </c>
      <c r="K207" s="21"/>
      <c r="L207" s="19">
        <v>74</v>
      </c>
      <c r="M207" s="21">
        <v>222</v>
      </c>
      <c r="N207" s="120">
        <v>4130</v>
      </c>
      <c r="O207" s="120">
        <v>3684.6</v>
      </c>
      <c r="P207" s="207">
        <f>2113.4-0.2-0.2</f>
        <v>2113.0000000000005</v>
      </c>
      <c r="Q207" s="24"/>
      <c r="R207" s="22"/>
      <c r="S207" s="22">
        <v>39.5</v>
      </c>
      <c r="T207" s="22">
        <v>17.6</v>
      </c>
      <c r="U207" s="22"/>
      <c r="V207" s="22">
        <v>350.2</v>
      </c>
      <c r="W207" s="22">
        <v>55.7</v>
      </c>
      <c r="X207" s="22">
        <f t="shared" si="44"/>
        <v>455.26</v>
      </c>
      <c r="Y207" s="58">
        <f aca="true" t="shared" si="46" ref="Y207:Y214">X207/H207*3+W207</f>
        <v>328.85599999999994</v>
      </c>
      <c r="Z207" s="58">
        <f>W207+X207-Y207</f>
        <v>182.10400000000004</v>
      </c>
      <c r="AA207" s="24"/>
      <c r="AB207" s="26">
        <v>64.8</v>
      </c>
      <c r="AC207" s="175">
        <v>26</v>
      </c>
    </row>
    <row r="208" spans="1:29" ht="12.75">
      <c r="A208" s="205">
        <v>164</v>
      </c>
      <c r="B208" s="17">
        <v>1993</v>
      </c>
      <c r="C208" s="19" t="s">
        <v>125</v>
      </c>
      <c r="D208" s="27" t="s">
        <v>89</v>
      </c>
      <c r="E208" s="20">
        <v>30</v>
      </c>
      <c r="F208" s="21" t="s">
        <v>7</v>
      </c>
      <c r="G208" s="21">
        <v>8</v>
      </c>
      <c r="H208" s="21">
        <v>5</v>
      </c>
      <c r="I208" s="21">
        <v>1</v>
      </c>
      <c r="J208" s="21">
        <v>6</v>
      </c>
      <c r="K208" s="21"/>
      <c r="L208" s="19">
        <v>89</v>
      </c>
      <c r="M208" s="21">
        <v>235</v>
      </c>
      <c r="N208" s="120">
        <v>4901.8</v>
      </c>
      <c r="O208" s="120">
        <v>4367.8</v>
      </c>
      <c r="P208" s="217">
        <v>2530.1</v>
      </c>
      <c r="Q208" s="24"/>
      <c r="R208" s="22"/>
      <c r="S208" s="22">
        <v>51.3</v>
      </c>
      <c r="T208" s="22">
        <v>28.9</v>
      </c>
      <c r="U208" s="22"/>
      <c r="V208" s="22">
        <v>420.7</v>
      </c>
      <c r="W208" s="22">
        <v>66.6</v>
      </c>
      <c r="X208" s="22">
        <f t="shared" si="44"/>
        <v>546.91</v>
      </c>
      <c r="Y208" s="58">
        <f t="shared" si="46"/>
        <v>394.746</v>
      </c>
      <c r="Z208" s="58">
        <f t="shared" si="45"/>
        <v>218.764</v>
      </c>
      <c r="AA208" s="90"/>
      <c r="AB208" s="88">
        <v>84.24</v>
      </c>
      <c r="AC208" s="175">
        <v>27</v>
      </c>
    </row>
    <row r="209" spans="1:29" ht="12.75">
      <c r="A209" s="205">
        <v>165</v>
      </c>
      <c r="B209" s="17">
        <v>1993</v>
      </c>
      <c r="C209" s="19" t="s">
        <v>16</v>
      </c>
      <c r="D209" s="27" t="s">
        <v>89</v>
      </c>
      <c r="E209" s="20" t="s">
        <v>31</v>
      </c>
      <c r="F209" s="21" t="s">
        <v>7</v>
      </c>
      <c r="G209" s="21">
        <v>8</v>
      </c>
      <c r="H209" s="21">
        <v>5</v>
      </c>
      <c r="I209" s="21">
        <v>1</v>
      </c>
      <c r="J209" s="21">
        <v>4</v>
      </c>
      <c r="K209" s="21"/>
      <c r="L209" s="19">
        <v>60</v>
      </c>
      <c r="M209" s="21">
        <v>143</v>
      </c>
      <c r="N209" s="120">
        <v>3298.1</v>
      </c>
      <c r="O209" s="120">
        <v>2972.9</v>
      </c>
      <c r="P209" s="206">
        <f>1676.9+28.8-0.1</f>
        <v>1705.6000000000001</v>
      </c>
      <c r="Q209" s="24"/>
      <c r="R209" s="22"/>
      <c r="S209" s="22"/>
      <c r="T209" s="22"/>
      <c r="U209" s="22"/>
      <c r="V209" s="22">
        <v>280.8</v>
      </c>
      <c r="W209" s="22">
        <v>44.4</v>
      </c>
      <c r="X209" s="22">
        <f t="shared" si="44"/>
        <v>365.04</v>
      </c>
      <c r="Y209" s="58">
        <f t="shared" si="46"/>
        <v>263.42400000000004</v>
      </c>
      <c r="Z209" s="58">
        <f t="shared" si="45"/>
        <v>146.01599999999996</v>
      </c>
      <c r="AA209" s="24"/>
      <c r="AB209" s="26">
        <v>56.2</v>
      </c>
      <c r="AC209" s="175">
        <v>28</v>
      </c>
    </row>
    <row r="210" spans="1:29" ht="12.75">
      <c r="A210" s="205">
        <v>166</v>
      </c>
      <c r="B210" s="17">
        <v>1993</v>
      </c>
      <c r="C210" s="19" t="s">
        <v>125</v>
      </c>
      <c r="D210" s="27" t="s">
        <v>89</v>
      </c>
      <c r="E210" s="20" t="s">
        <v>32</v>
      </c>
      <c r="F210" s="21" t="s">
        <v>7</v>
      </c>
      <c r="G210" s="21">
        <v>8</v>
      </c>
      <c r="H210" s="21">
        <v>5</v>
      </c>
      <c r="I210" s="21">
        <v>1</v>
      </c>
      <c r="J210" s="21">
        <v>5</v>
      </c>
      <c r="K210" s="21"/>
      <c r="L210" s="19">
        <v>50</v>
      </c>
      <c r="M210" s="21">
        <v>189</v>
      </c>
      <c r="N210" s="120">
        <v>3985.9</v>
      </c>
      <c r="O210" s="120">
        <v>3577.4</v>
      </c>
      <c r="P210" s="207">
        <f>2304.7-R210-0.2+3.6-0.3-0.9</f>
        <v>2265.0999999999995</v>
      </c>
      <c r="Q210" s="24">
        <v>65.8</v>
      </c>
      <c r="R210" s="22">
        <v>41.8</v>
      </c>
      <c r="S210" s="22"/>
      <c r="T210" s="22"/>
      <c r="U210" s="22"/>
      <c r="V210" s="22">
        <v>352.6</v>
      </c>
      <c r="W210" s="22">
        <v>55.9</v>
      </c>
      <c r="X210" s="22">
        <f t="shared" si="44"/>
        <v>458.38000000000005</v>
      </c>
      <c r="Y210" s="58">
        <f t="shared" si="46"/>
        <v>330.928</v>
      </c>
      <c r="Z210" s="58">
        <f t="shared" si="45"/>
        <v>183.3520000000001</v>
      </c>
      <c r="AA210" s="24"/>
      <c r="AB210" s="26">
        <v>64.8</v>
      </c>
      <c r="AC210" s="175">
        <v>29</v>
      </c>
    </row>
    <row r="211" spans="1:29" ht="12.75">
      <c r="A211" s="205">
        <v>167</v>
      </c>
      <c r="B211" s="17">
        <v>1993</v>
      </c>
      <c r="C211" s="19" t="s">
        <v>126</v>
      </c>
      <c r="D211" s="27" t="s">
        <v>89</v>
      </c>
      <c r="E211" s="20">
        <v>32</v>
      </c>
      <c r="F211" s="21" t="s">
        <v>7</v>
      </c>
      <c r="G211" s="21">
        <v>8</v>
      </c>
      <c r="H211" s="21">
        <v>5</v>
      </c>
      <c r="I211" s="21">
        <v>1</v>
      </c>
      <c r="J211" s="21">
        <v>5</v>
      </c>
      <c r="K211" s="21"/>
      <c r="L211" s="19">
        <v>75</v>
      </c>
      <c r="M211" s="21">
        <v>217</v>
      </c>
      <c r="N211" s="120">
        <v>4151.1</v>
      </c>
      <c r="O211" s="120">
        <v>3741.2</v>
      </c>
      <c r="P211" s="206">
        <f>2149.2-0.6-0.4-0.5+0.5</f>
        <v>2148.2</v>
      </c>
      <c r="Q211" s="24"/>
      <c r="R211" s="22"/>
      <c r="S211" s="22"/>
      <c r="T211" s="22"/>
      <c r="U211" s="22"/>
      <c r="V211" s="22">
        <v>354.3</v>
      </c>
      <c r="W211" s="22">
        <v>55.6</v>
      </c>
      <c r="X211" s="22">
        <f t="shared" si="44"/>
        <v>460.59000000000003</v>
      </c>
      <c r="Y211" s="58">
        <f t="shared" si="46"/>
        <v>331.95400000000006</v>
      </c>
      <c r="Z211" s="58">
        <f t="shared" si="45"/>
        <v>184.236</v>
      </c>
      <c r="AA211" s="24"/>
      <c r="AB211" s="26">
        <v>70.2</v>
      </c>
      <c r="AC211" s="175">
        <v>30</v>
      </c>
    </row>
    <row r="212" spans="1:29" ht="12.75">
      <c r="A212" s="205">
        <v>168</v>
      </c>
      <c r="B212" s="17">
        <v>1993</v>
      </c>
      <c r="C212" s="19" t="s">
        <v>23</v>
      </c>
      <c r="D212" s="27" t="s">
        <v>89</v>
      </c>
      <c r="E212" s="20">
        <v>34</v>
      </c>
      <c r="F212" s="21" t="s">
        <v>7</v>
      </c>
      <c r="G212" s="21">
        <v>8</v>
      </c>
      <c r="H212" s="21">
        <v>5</v>
      </c>
      <c r="I212" s="21">
        <v>1</v>
      </c>
      <c r="J212" s="21">
        <v>6</v>
      </c>
      <c r="K212" s="21"/>
      <c r="L212" s="19">
        <v>89</v>
      </c>
      <c r="M212" s="21">
        <v>273</v>
      </c>
      <c r="N212" s="120">
        <v>4879.8</v>
      </c>
      <c r="O212" s="120">
        <v>4393.1</v>
      </c>
      <c r="P212" s="206">
        <f>2559.3+0.4-0.2-0.2-1.7</f>
        <v>2557.600000000001</v>
      </c>
      <c r="Q212" s="24"/>
      <c r="R212" s="22"/>
      <c r="S212" s="22"/>
      <c r="T212" s="22"/>
      <c r="U212" s="22"/>
      <c r="V212" s="22">
        <v>420</v>
      </c>
      <c r="W212" s="22">
        <v>66.7</v>
      </c>
      <c r="X212" s="22">
        <f t="shared" si="44"/>
        <v>546</v>
      </c>
      <c r="Y212" s="58">
        <f t="shared" si="46"/>
        <v>394.3</v>
      </c>
      <c r="Z212" s="58">
        <f t="shared" si="45"/>
        <v>218.40000000000003</v>
      </c>
      <c r="AA212" s="90"/>
      <c r="AB212" s="88">
        <v>84.2</v>
      </c>
      <c r="AC212" s="175">
        <v>31</v>
      </c>
    </row>
    <row r="213" spans="1:29" ht="12.75">
      <c r="A213" s="205">
        <v>169</v>
      </c>
      <c r="B213" s="17">
        <v>1993</v>
      </c>
      <c r="C213" s="19" t="s">
        <v>23</v>
      </c>
      <c r="D213" s="27" t="s">
        <v>89</v>
      </c>
      <c r="E213" s="20" t="s">
        <v>127</v>
      </c>
      <c r="F213" s="21" t="s">
        <v>7</v>
      </c>
      <c r="G213" s="21">
        <v>8</v>
      </c>
      <c r="H213" s="21">
        <v>5</v>
      </c>
      <c r="I213" s="21">
        <v>1</v>
      </c>
      <c r="J213" s="21">
        <v>3</v>
      </c>
      <c r="K213" s="21"/>
      <c r="L213" s="19">
        <v>45</v>
      </c>
      <c r="M213" s="21">
        <v>135</v>
      </c>
      <c r="N213" s="120">
        <f>O213+Q213+S213+U213+V213+W213</f>
        <v>2492.1</v>
      </c>
      <c r="O213" s="120">
        <f>2245.9-0.2</f>
        <v>2245.7000000000003</v>
      </c>
      <c r="P213" s="206">
        <f>1284.8-0.4</f>
        <v>1284.3999999999999</v>
      </c>
      <c r="Q213" s="24"/>
      <c r="R213" s="22"/>
      <c r="S213" s="22"/>
      <c r="T213" s="22"/>
      <c r="U213" s="22"/>
      <c r="V213" s="22">
        <v>213.2</v>
      </c>
      <c r="W213" s="22">
        <v>33.2</v>
      </c>
      <c r="X213" s="22">
        <f t="shared" si="44"/>
        <v>277.15999999999997</v>
      </c>
      <c r="Y213" s="58">
        <f t="shared" si="46"/>
        <v>199.49599999999998</v>
      </c>
      <c r="Z213" s="58">
        <f t="shared" si="45"/>
        <v>110.86399999999998</v>
      </c>
      <c r="AA213" s="24"/>
      <c r="AB213" s="26">
        <v>42.1</v>
      </c>
      <c r="AC213" s="175">
        <v>32</v>
      </c>
    </row>
    <row r="214" spans="1:29" ht="12.75">
      <c r="A214" s="205">
        <v>170</v>
      </c>
      <c r="B214" s="17">
        <v>1992</v>
      </c>
      <c r="C214" s="19" t="s">
        <v>16</v>
      </c>
      <c r="D214" s="27" t="s">
        <v>89</v>
      </c>
      <c r="E214" s="20" t="s">
        <v>128</v>
      </c>
      <c r="F214" s="21" t="s">
        <v>7</v>
      </c>
      <c r="G214" s="21">
        <v>8</v>
      </c>
      <c r="H214" s="21">
        <v>5</v>
      </c>
      <c r="I214" s="21">
        <v>1</v>
      </c>
      <c r="J214" s="21">
        <v>6</v>
      </c>
      <c r="K214" s="21"/>
      <c r="L214" s="19">
        <v>60</v>
      </c>
      <c r="M214" s="21">
        <v>227</v>
      </c>
      <c r="N214" s="120">
        <v>4765.5</v>
      </c>
      <c r="O214" s="120">
        <v>4275.9</v>
      </c>
      <c r="P214" s="206">
        <f>2754.3-0.6-0.4-1.5</f>
        <v>2751.8</v>
      </c>
      <c r="Q214" s="24"/>
      <c r="R214" s="22"/>
      <c r="S214" s="22"/>
      <c r="T214" s="22"/>
      <c r="U214" s="22"/>
      <c r="V214" s="22">
        <v>422.8</v>
      </c>
      <c r="W214" s="22">
        <v>66.8</v>
      </c>
      <c r="X214" s="22">
        <f>V214*1.3</f>
        <v>549.64</v>
      </c>
      <c r="Y214" s="58">
        <f t="shared" si="46"/>
        <v>396.584</v>
      </c>
      <c r="Z214" s="58">
        <f t="shared" si="45"/>
        <v>219.85599999999994</v>
      </c>
      <c r="AA214" s="24"/>
      <c r="AB214" s="26">
        <v>86.4</v>
      </c>
      <c r="AC214" s="175">
        <v>33</v>
      </c>
    </row>
    <row r="215" spans="1:29" ht="12.75">
      <c r="A215" s="205">
        <v>171</v>
      </c>
      <c r="B215" s="17">
        <v>1996</v>
      </c>
      <c r="C215" s="19" t="s">
        <v>168</v>
      </c>
      <c r="D215" s="27" t="s">
        <v>89</v>
      </c>
      <c r="E215" s="20">
        <v>36</v>
      </c>
      <c r="F215" s="21" t="s">
        <v>7</v>
      </c>
      <c r="G215" s="20">
        <v>1</v>
      </c>
      <c r="H215" s="20">
        <v>9</v>
      </c>
      <c r="I215" s="21">
        <v>1</v>
      </c>
      <c r="J215" s="21">
        <v>2</v>
      </c>
      <c r="K215" s="21"/>
      <c r="L215" s="19">
        <v>71</v>
      </c>
      <c r="M215" s="21">
        <v>195</v>
      </c>
      <c r="N215" s="160">
        <v>5526.2</v>
      </c>
      <c r="O215" s="121">
        <f>4982-100.6-1.4</f>
        <v>4880</v>
      </c>
      <c r="P215" s="207">
        <f>2751.4-58.2</f>
        <v>2693.2000000000003</v>
      </c>
      <c r="Q215" s="219">
        <v>100.6</v>
      </c>
      <c r="R215" s="19">
        <v>58.2</v>
      </c>
      <c r="S215" s="22"/>
      <c r="T215" s="22"/>
      <c r="U215" s="22"/>
      <c r="V215" s="22">
        <v>310.3</v>
      </c>
      <c r="W215" s="22">
        <v>234.3</v>
      </c>
      <c r="X215" s="22">
        <f t="shared" si="44"/>
        <v>403.39000000000004</v>
      </c>
      <c r="Y215" s="58">
        <f>X215/H215*4+67.9+166.4/8*3</f>
        <v>309.58444444444444</v>
      </c>
      <c r="Z215" s="58">
        <f t="shared" si="45"/>
        <v>328.1055555555556</v>
      </c>
      <c r="AA215" s="90"/>
      <c r="AB215" s="88">
        <v>209.4</v>
      </c>
      <c r="AC215" s="175">
        <v>34</v>
      </c>
    </row>
    <row r="216" spans="1:29" ht="12.75">
      <c r="A216" s="205">
        <v>172</v>
      </c>
      <c r="B216" s="17">
        <v>2008</v>
      </c>
      <c r="C216" s="19"/>
      <c r="D216" s="27" t="s">
        <v>89</v>
      </c>
      <c r="E216" s="20" t="s">
        <v>187</v>
      </c>
      <c r="F216" s="21" t="s">
        <v>7</v>
      </c>
      <c r="G216" s="20" t="s">
        <v>188</v>
      </c>
      <c r="H216" s="20">
        <v>9</v>
      </c>
      <c r="I216" s="21">
        <v>1</v>
      </c>
      <c r="J216" s="21">
        <v>2</v>
      </c>
      <c r="K216" s="21"/>
      <c r="L216" s="19">
        <v>108</v>
      </c>
      <c r="M216" s="21">
        <v>238</v>
      </c>
      <c r="N216" s="160">
        <v>6458.9</v>
      </c>
      <c r="O216" s="121">
        <v>5384.4</v>
      </c>
      <c r="P216" s="207">
        <f>3076.1-22.7-26.9+22.7+26.9</f>
        <v>3076.1</v>
      </c>
      <c r="Q216" s="219">
        <f>42.5+45.9-42.5-45.9</f>
        <v>0</v>
      </c>
      <c r="R216" s="19">
        <f>22.7+26.9-22.7-26.9</f>
        <v>0</v>
      </c>
      <c r="S216" s="22"/>
      <c r="T216" s="22"/>
      <c r="U216" s="22"/>
      <c r="V216" s="53">
        <v>355</v>
      </c>
      <c r="W216" s="22">
        <v>719.5</v>
      </c>
      <c r="X216" s="22">
        <f>V216*1.3</f>
        <v>461.5</v>
      </c>
      <c r="Y216" s="58">
        <f>X216/H216*4+67.9+166.4/8*3</f>
        <v>335.41111111111115</v>
      </c>
      <c r="Z216" s="58">
        <f>W216+X216-Y216</f>
        <v>845.5888888888888</v>
      </c>
      <c r="AA216" s="24"/>
      <c r="AB216" s="26"/>
      <c r="AC216" s="175">
        <v>35</v>
      </c>
    </row>
    <row r="217" spans="1:29" ht="12.75">
      <c r="A217" s="205">
        <v>173</v>
      </c>
      <c r="B217" s="182">
        <v>2004</v>
      </c>
      <c r="C217" s="182"/>
      <c r="D217" s="117" t="s">
        <v>89</v>
      </c>
      <c r="E217" s="183">
        <v>40</v>
      </c>
      <c r="F217" s="116" t="s">
        <v>7</v>
      </c>
      <c r="G217" s="118">
        <v>1</v>
      </c>
      <c r="H217" s="116">
        <v>9</v>
      </c>
      <c r="I217" s="116">
        <v>1</v>
      </c>
      <c r="J217" s="116">
        <v>3</v>
      </c>
      <c r="K217" s="116"/>
      <c r="L217" s="116">
        <v>104</v>
      </c>
      <c r="M217" s="21">
        <v>289</v>
      </c>
      <c r="N217" s="120">
        <v>6668.1</v>
      </c>
      <c r="O217" s="166">
        <v>5843.1</v>
      </c>
      <c r="P217" s="235">
        <v>3188.8</v>
      </c>
      <c r="Q217" s="24"/>
      <c r="R217" s="22"/>
      <c r="S217" s="22"/>
      <c r="T217" s="22"/>
      <c r="U217" s="119">
        <v>223.3</v>
      </c>
      <c r="V217" s="116">
        <v>447.1</v>
      </c>
      <c r="W217" s="166">
        <v>377.7</v>
      </c>
      <c r="X217" s="166">
        <f>V217*1.3</f>
        <v>581.23</v>
      </c>
      <c r="Y217" s="167">
        <f>X217/H217*4+2.7+3.2+9.1+16.4+11.9+1.4+2.7+3.1+8.9+12+1.4+4.9+11.1+2.7+3.3+9.3+11.9+1.4+(12+12+12.1)*3</f>
        <v>484.0244444444443</v>
      </c>
      <c r="Z217" s="167">
        <f>W217+X217-Y217</f>
        <v>474.90555555555574</v>
      </c>
      <c r="AA217" s="24"/>
      <c r="AB217" s="26">
        <v>114.4</v>
      </c>
      <c r="AC217" s="175">
        <v>36</v>
      </c>
    </row>
    <row r="218" spans="1:29" ht="12.75">
      <c r="A218" s="205">
        <v>174</v>
      </c>
      <c r="B218" s="17">
        <v>1994</v>
      </c>
      <c r="C218" s="19" t="s">
        <v>129</v>
      </c>
      <c r="D218" s="27" t="s">
        <v>89</v>
      </c>
      <c r="E218" s="20">
        <v>42</v>
      </c>
      <c r="F218" s="21" t="s">
        <v>7</v>
      </c>
      <c r="G218" s="21">
        <v>8</v>
      </c>
      <c r="H218" s="21">
        <v>5</v>
      </c>
      <c r="I218" s="21">
        <v>1</v>
      </c>
      <c r="J218" s="21">
        <v>6</v>
      </c>
      <c r="K218" s="21"/>
      <c r="L218" s="19">
        <v>90</v>
      </c>
      <c r="M218" s="21">
        <v>223</v>
      </c>
      <c r="N218" s="120">
        <v>4976.7</v>
      </c>
      <c r="O218" s="120">
        <v>4487.6</v>
      </c>
      <c r="P218" s="207">
        <f>2588.8-1.1</f>
        <v>2587.7000000000003</v>
      </c>
      <c r="Q218" s="24"/>
      <c r="R218" s="22"/>
      <c r="S218" s="22"/>
      <c r="T218" s="22"/>
      <c r="U218" s="22"/>
      <c r="V218" s="22">
        <v>422.5</v>
      </c>
      <c r="W218" s="22">
        <v>66.6</v>
      </c>
      <c r="X218" s="22">
        <f t="shared" si="44"/>
        <v>549.25</v>
      </c>
      <c r="Y218" s="58">
        <f aca="true" t="shared" si="47" ref="Y218:Y226">X218/H218*3+W218</f>
        <v>396.15</v>
      </c>
      <c r="Z218" s="58">
        <f t="shared" si="45"/>
        <v>219.70000000000005</v>
      </c>
      <c r="AA218" s="24"/>
      <c r="AB218" s="26">
        <v>90.7</v>
      </c>
      <c r="AC218" s="175">
        <v>37</v>
      </c>
    </row>
    <row r="219" spans="1:29" ht="12.75">
      <c r="A219" s="205">
        <v>175</v>
      </c>
      <c r="B219" s="17">
        <v>1994</v>
      </c>
      <c r="C219" s="19" t="s">
        <v>130</v>
      </c>
      <c r="D219" s="27" t="s">
        <v>89</v>
      </c>
      <c r="E219" s="20" t="s">
        <v>18</v>
      </c>
      <c r="F219" s="21" t="s">
        <v>7</v>
      </c>
      <c r="G219" s="21">
        <v>8</v>
      </c>
      <c r="H219" s="21">
        <v>5</v>
      </c>
      <c r="I219" s="21">
        <v>1</v>
      </c>
      <c r="J219" s="21">
        <v>3</v>
      </c>
      <c r="K219" s="21"/>
      <c r="L219" s="19">
        <v>45</v>
      </c>
      <c r="M219" s="21">
        <v>127</v>
      </c>
      <c r="N219" s="120">
        <f>O219+Q219+S219+U219+V219+W219</f>
        <v>2489</v>
      </c>
      <c r="O219" s="120">
        <f>2248.2-0.6-2.2-1.1-1.3</f>
        <v>2243</v>
      </c>
      <c r="P219" s="207">
        <f>1287.4-0.7-1.2-0.6-0.8</f>
        <v>1284.1000000000001</v>
      </c>
      <c r="Q219" s="24"/>
      <c r="R219" s="22"/>
      <c r="S219" s="22"/>
      <c r="T219" s="22"/>
      <c r="U219" s="22"/>
      <c r="V219" s="22">
        <v>212.5</v>
      </c>
      <c r="W219" s="22">
        <v>33.5</v>
      </c>
      <c r="X219" s="22">
        <f t="shared" si="44"/>
        <v>276.25</v>
      </c>
      <c r="Y219" s="58">
        <f t="shared" si="47"/>
        <v>199.25</v>
      </c>
      <c r="Z219" s="58">
        <f t="shared" si="45"/>
        <v>110.5</v>
      </c>
      <c r="AA219" s="24"/>
      <c r="AB219" s="26">
        <v>44.3</v>
      </c>
      <c r="AC219" s="175">
        <v>38</v>
      </c>
    </row>
    <row r="220" spans="1:29" ht="12.75">
      <c r="A220" s="205">
        <v>176</v>
      </c>
      <c r="B220" s="17">
        <v>1995</v>
      </c>
      <c r="C220" s="19" t="s">
        <v>131</v>
      </c>
      <c r="D220" s="27" t="s">
        <v>121</v>
      </c>
      <c r="E220" s="20" t="s">
        <v>19</v>
      </c>
      <c r="F220" s="21" t="s">
        <v>7</v>
      </c>
      <c r="G220" s="21">
        <v>8</v>
      </c>
      <c r="H220" s="21">
        <v>5</v>
      </c>
      <c r="I220" s="21">
        <v>1</v>
      </c>
      <c r="J220" s="21">
        <v>4</v>
      </c>
      <c r="K220" s="21"/>
      <c r="L220" s="19">
        <v>40</v>
      </c>
      <c r="M220" s="21">
        <v>149</v>
      </c>
      <c r="N220" s="120">
        <f>O220+Q220+S220+U220+V220+W220</f>
        <v>3170.2</v>
      </c>
      <c r="O220" s="120">
        <f>2769.6-0.2+0.6-0.8-0.7-0.4+79.6</f>
        <v>2847.7</v>
      </c>
      <c r="P220" s="207">
        <f>1778.5-0.8+0.6-0.7-0.3-0.5+52.1</f>
        <v>1828.8999999999999</v>
      </c>
      <c r="Q220" s="24"/>
      <c r="R220" s="22"/>
      <c r="S220" s="22"/>
      <c r="T220" s="22"/>
      <c r="U220" s="22"/>
      <c r="V220" s="22">
        <v>282.2</v>
      </c>
      <c r="W220" s="22">
        <v>40.3</v>
      </c>
      <c r="X220" s="22">
        <f t="shared" si="44"/>
        <v>366.86</v>
      </c>
      <c r="Y220" s="58">
        <f t="shared" si="47"/>
        <v>260.416</v>
      </c>
      <c r="Z220" s="58">
        <f t="shared" si="45"/>
        <v>146.74400000000003</v>
      </c>
      <c r="AA220" s="24"/>
      <c r="AB220" s="26">
        <v>55.4</v>
      </c>
      <c r="AC220" s="175">
        <v>39</v>
      </c>
    </row>
    <row r="221" spans="1:29" ht="12.75">
      <c r="A221" s="205">
        <v>177</v>
      </c>
      <c r="B221" s="17">
        <v>1994</v>
      </c>
      <c r="C221" s="19" t="s">
        <v>132</v>
      </c>
      <c r="D221" s="27" t="s">
        <v>89</v>
      </c>
      <c r="E221" s="20">
        <v>44</v>
      </c>
      <c r="F221" s="21" t="s">
        <v>7</v>
      </c>
      <c r="G221" s="21">
        <v>8</v>
      </c>
      <c r="H221" s="21">
        <v>5</v>
      </c>
      <c r="I221" s="21">
        <v>1</v>
      </c>
      <c r="J221" s="21">
        <v>4</v>
      </c>
      <c r="K221" s="21"/>
      <c r="L221" s="19">
        <v>60</v>
      </c>
      <c r="M221" s="21">
        <v>163</v>
      </c>
      <c r="N221" s="120">
        <v>3306.8</v>
      </c>
      <c r="O221" s="120">
        <v>2978</v>
      </c>
      <c r="P221" s="207">
        <f>1712.7-0.4-0.1-0.3</f>
        <v>1711.9</v>
      </c>
      <c r="Q221" s="24"/>
      <c r="R221" s="22"/>
      <c r="S221" s="22"/>
      <c r="T221" s="22"/>
      <c r="U221" s="22"/>
      <c r="V221" s="22">
        <v>284</v>
      </c>
      <c r="W221" s="22">
        <v>44.8</v>
      </c>
      <c r="X221" s="22">
        <f t="shared" si="44"/>
        <v>369.2</v>
      </c>
      <c r="Y221" s="58">
        <f t="shared" si="47"/>
        <v>266.32</v>
      </c>
      <c r="Z221" s="58">
        <f t="shared" si="45"/>
        <v>147.68</v>
      </c>
      <c r="AA221" s="24"/>
      <c r="AB221" s="26">
        <v>56.2</v>
      </c>
      <c r="AC221" s="175">
        <v>40</v>
      </c>
    </row>
    <row r="222" spans="1:29" ht="12.75">
      <c r="A222" s="205">
        <v>178</v>
      </c>
      <c r="B222" s="17">
        <v>1994</v>
      </c>
      <c r="C222" s="19" t="s">
        <v>21</v>
      </c>
      <c r="D222" s="27" t="s">
        <v>121</v>
      </c>
      <c r="E222" s="20" t="s">
        <v>133</v>
      </c>
      <c r="F222" s="21" t="s">
        <v>7</v>
      </c>
      <c r="G222" s="21">
        <v>8</v>
      </c>
      <c r="H222" s="21">
        <v>5</v>
      </c>
      <c r="I222" s="21">
        <v>1</v>
      </c>
      <c r="J222" s="21">
        <v>4</v>
      </c>
      <c r="K222" s="21"/>
      <c r="L222" s="19">
        <v>40</v>
      </c>
      <c r="M222" s="21">
        <v>157</v>
      </c>
      <c r="N222" s="120">
        <v>3187.1</v>
      </c>
      <c r="O222" s="120">
        <v>2862.2</v>
      </c>
      <c r="P222" s="207">
        <f>1835.5-0.2-0.6-0.5</f>
        <v>1834.2</v>
      </c>
      <c r="Q222" s="24"/>
      <c r="R222" s="22"/>
      <c r="S222" s="22"/>
      <c r="T222" s="22"/>
      <c r="U222" s="22"/>
      <c r="V222" s="22">
        <v>280.8</v>
      </c>
      <c r="W222" s="22">
        <v>44.1</v>
      </c>
      <c r="X222" s="22">
        <f t="shared" si="44"/>
        <v>365.04</v>
      </c>
      <c r="Y222" s="58">
        <f t="shared" si="47"/>
        <v>263.124</v>
      </c>
      <c r="Z222" s="58">
        <f t="shared" si="45"/>
        <v>146.01600000000002</v>
      </c>
      <c r="AA222" s="90"/>
      <c r="AB222" s="88">
        <v>56.2</v>
      </c>
      <c r="AC222" s="175">
        <v>41</v>
      </c>
    </row>
    <row r="223" spans="1:29" ht="12.75">
      <c r="A223" s="205">
        <v>179</v>
      </c>
      <c r="B223" s="17">
        <v>1994</v>
      </c>
      <c r="C223" s="19" t="s">
        <v>21</v>
      </c>
      <c r="D223" s="27" t="s">
        <v>89</v>
      </c>
      <c r="E223" s="20" t="s">
        <v>134</v>
      </c>
      <c r="F223" s="21" t="s">
        <v>7</v>
      </c>
      <c r="G223" s="21">
        <v>8</v>
      </c>
      <c r="H223" s="21">
        <v>5</v>
      </c>
      <c r="I223" s="21">
        <v>1</v>
      </c>
      <c r="J223" s="21">
        <v>6</v>
      </c>
      <c r="K223" s="21"/>
      <c r="L223" s="19">
        <v>89</v>
      </c>
      <c r="M223" s="21">
        <v>241</v>
      </c>
      <c r="N223" s="160">
        <v>4996.6</v>
      </c>
      <c r="O223" s="120">
        <v>4453.8</v>
      </c>
      <c r="P223" s="207">
        <f>2593.5-1.6-29.4-0.7</f>
        <v>2561.8</v>
      </c>
      <c r="Q223" s="24"/>
      <c r="R223" s="22"/>
      <c r="S223" s="22">
        <v>51.8</v>
      </c>
      <c r="T223" s="22">
        <v>29.4</v>
      </c>
      <c r="U223" s="22"/>
      <c r="V223" s="22">
        <v>423.3</v>
      </c>
      <c r="W223" s="22">
        <v>67.6</v>
      </c>
      <c r="X223" s="22">
        <f t="shared" si="44"/>
        <v>550.2900000000001</v>
      </c>
      <c r="Y223" s="58">
        <f t="shared" si="47"/>
        <v>397.7740000000001</v>
      </c>
      <c r="Z223" s="58">
        <f t="shared" si="45"/>
        <v>220.11599999999999</v>
      </c>
      <c r="AA223" s="64"/>
      <c r="AB223" s="65">
        <v>81.7</v>
      </c>
      <c r="AC223" s="175">
        <v>42</v>
      </c>
    </row>
    <row r="224" spans="1:29" ht="12.75">
      <c r="A224" s="205">
        <v>180</v>
      </c>
      <c r="B224" s="17">
        <v>1994</v>
      </c>
      <c r="C224" s="19" t="s">
        <v>135</v>
      </c>
      <c r="D224" s="27" t="s">
        <v>89</v>
      </c>
      <c r="E224" s="20" t="s">
        <v>136</v>
      </c>
      <c r="F224" s="21" t="s">
        <v>7</v>
      </c>
      <c r="G224" s="21">
        <v>8</v>
      </c>
      <c r="H224" s="21">
        <v>5</v>
      </c>
      <c r="I224" s="21">
        <v>1</v>
      </c>
      <c r="J224" s="21">
        <v>4</v>
      </c>
      <c r="K224" s="21"/>
      <c r="L224" s="19">
        <v>60</v>
      </c>
      <c r="M224" s="21">
        <v>142</v>
      </c>
      <c r="N224" s="120">
        <v>3362.4</v>
      </c>
      <c r="O224" s="120">
        <v>3033.4</v>
      </c>
      <c r="P224" s="207">
        <f>1736.7-0.5-0.7-1</f>
        <v>1734.5</v>
      </c>
      <c r="Q224" s="24"/>
      <c r="R224" s="22"/>
      <c r="S224" s="22"/>
      <c r="T224" s="22"/>
      <c r="U224" s="22"/>
      <c r="V224" s="22">
        <v>283.3</v>
      </c>
      <c r="W224" s="22">
        <v>45.7</v>
      </c>
      <c r="X224" s="22">
        <f t="shared" si="44"/>
        <v>368.29</v>
      </c>
      <c r="Y224" s="58">
        <f t="shared" si="47"/>
        <v>266.674</v>
      </c>
      <c r="Z224" s="58">
        <f t="shared" si="45"/>
        <v>147.31600000000003</v>
      </c>
      <c r="AA224" s="24"/>
      <c r="AB224" s="26">
        <v>56.25</v>
      </c>
      <c r="AC224" s="175">
        <v>43</v>
      </c>
    </row>
    <row r="225" spans="1:29" ht="12.75">
      <c r="A225" s="205">
        <v>181</v>
      </c>
      <c r="B225" s="17">
        <v>1994</v>
      </c>
      <c r="C225" s="19" t="s">
        <v>132</v>
      </c>
      <c r="D225" s="27" t="s">
        <v>39</v>
      </c>
      <c r="E225" s="20">
        <v>46</v>
      </c>
      <c r="F225" s="21" t="s">
        <v>7</v>
      </c>
      <c r="G225" s="21">
        <v>8</v>
      </c>
      <c r="H225" s="21">
        <v>5</v>
      </c>
      <c r="I225" s="21">
        <v>1</v>
      </c>
      <c r="J225" s="21">
        <v>6</v>
      </c>
      <c r="K225" s="21"/>
      <c r="L225" s="19">
        <v>59</v>
      </c>
      <c r="M225" s="21">
        <v>235</v>
      </c>
      <c r="N225" s="120">
        <v>4808.8</v>
      </c>
      <c r="O225" s="120">
        <v>4240.9</v>
      </c>
      <c r="P225" s="207">
        <f>2787.1-1+0-1.2-1-0.8-2.5-0.4-1.4-1.8</f>
        <v>2776.9999999999995</v>
      </c>
      <c r="Q225" s="24"/>
      <c r="R225" s="22"/>
      <c r="S225" s="22"/>
      <c r="T225" s="22"/>
      <c r="U225" s="22"/>
      <c r="V225" s="22">
        <v>421.1</v>
      </c>
      <c r="W225" s="22">
        <v>66.1</v>
      </c>
      <c r="X225" s="22">
        <f t="shared" si="44"/>
        <v>547.4300000000001</v>
      </c>
      <c r="Y225" s="58">
        <f t="shared" si="47"/>
        <v>394.5580000000001</v>
      </c>
      <c r="Z225" s="58">
        <f t="shared" si="45"/>
        <v>218.97199999999998</v>
      </c>
      <c r="AA225" s="24"/>
      <c r="AB225" s="26">
        <v>86.4</v>
      </c>
      <c r="AC225" s="175">
        <v>44</v>
      </c>
    </row>
    <row r="226" spans="1:29" ht="12.75">
      <c r="A226" s="205">
        <v>182</v>
      </c>
      <c r="B226" s="17">
        <v>1993</v>
      </c>
      <c r="C226" s="19" t="s">
        <v>16</v>
      </c>
      <c r="D226" s="27" t="s">
        <v>39</v>
      </c>
      <c r="E226" s="20">
        <v>48</v>
      </c>
      <c r="F226" s="21" t="s">
        <v>7</v>
      </c>
      <c r="G226" s="21">
        <v>8</v>
      </c>
      <c r="H226" s="21">
        <v>5</v>
      </c>
      <c r="I226" s="21">
        <v>1</v>
      </c>
      <c r="J226" s="21">
        <v>6</v>
      </c>
      <c r="K226" s="21"/>
      <c r="L226" s="19">
        <v>51</v>
      </c>
      <c r="M226" s="21">
        <v>193</v>
      </c>
      <c r="N226" s="120">
        <v>5099.81</v>
      </c>
      <c r="O226" s="120">
        <v>3708.01</v>
      </c>
      <c r="P226" s="207">
        <f>2339.9-1.4+2.3-0.8-1.4</f>
        <v>2338.6</v>
      </c>
      <c r="Q226" s="24"/>
      <c r="R226" s="22"/>
      <c r="S226" s="22"/>
      <c r="T226" s="22"/>
      <c r="U226" s="22">
        <v>781</v>
      </c>
      <c r="V226" s="22">
        <v>425</v>
      </c>
      <c r="W226" s="22">
        <v>52.4</v>
      </c>
      <c r="X226" s="22">
        <f t="shared" si="44"/>
        <v>552.5</v>
      </c>
      <c r="Y226" s="58">
        <f t="shared" si="47"/>
        <v>383.9</v>
      </c>
      <c r="Z226" s="58">
        <f t="shared" si="45"/>
        <v>221</v>
      </c>
      <c r="AA226" s="90"/>
      <c r="AB226" s="88">
        <v>86.4</v>
      </c>
      <c r="AC226" s="175">
        <v>45</v>
      </c>
    </row>
    <row r="227" spans="1:29" ht="12.75">
      <c r="A227" s="205">
        <v>183</v>
      </c>
      <c r="B227" s="17">
        <v>1993</v>
      </c>
      <c r="C227" s="19" t="s">
        <v>115</v>
      </c>
      <c r="D227" s="27" t="s">
        <v>39</v>
      </c>
      <c r="E227" s="20">
        <v>50</v>
      </c>
      <c r="F227" s="21" t="s">
        <v>7</v>
      </c>
      <c r="G227" s="21">
        <v>8</v>
      </c>
      <c r="H227" s="21">
        <v>5</v>
      </c>
      <c r="I227" s="21">
        <v>1</v>
      </c>
      <c r="J227" s="21">
        <v>6</v>
      </c>
      <c r="K227" s="21"/>
      <c r="L227" s="19">
        <v>59</v>
      </c>
      <c r="M227" s="21">
        <v>237</v>
      </c>
      <c r="N227" s="120">
        <v>4789.3</v>
      </c>
      <c r="O227" s="120">
        <v>4212.8</v>
      </c>
      <c r="P227" s="207">
        <f>2763.3-1.1-0.5-1.2-0.3-0.7-41.8-1.1</f>
        <v>2716.6000000000004</v>
      </c>
      <c r="Q227" s="24">
        <v>65.9</v>
      </c>
      <c r="R227" s="22">
        <v>41.8</v>
      </c>
      <c r="S227" s="22"/>
      <c r="T227" s="22"/>
      <c r="U227" s="22"/>
      <c r="V227" s="22">
        <v>429.9</v>
      </c>
      <c r="W227" s="22">
        <v>67.1</v>
      </c>
      <c r="X227" s="22">
        <f t="shared" si="44"/>
        <v>558.87</v>
      </c>
      <c r="Y227" s="58">
        <f>X227/H227*3+W227</f>
        <v>402.422</v>
      </c>
      <c r="Z227" s="58">
        <f t="shared" si="45"/>
        <v>223.548</v>
      </c>
      <c r="AA227" s="90"/>
      <c r="AB227" s="88">
        <v>86.4</v>
      </c>
      <c r="AC227" s="175">
        <v>46</v>
      </c>
    </row>
    <row r="228" spans="1:29" ht="13.5" thickBot="1">
      <c r="A228" s="260">
        <v>184</v>
      </c>
      <c r="B228" s="261">
        <v>2006</v>
      </c>
      <c r="C228" s="262">
        <v>2007</v>
      </c>
      <c r="D228" s="263" t="s">
        <v>26</v>
      </c>
      <c r="E228" s="250">
        <v>101</v>
      </c>
      <c r="F228" s="264" t="s">
        <v>7</v>
      </c>
      <c r="G228" s="250">
        <v>1</v>
      </c>
      <c r="H228" s="250">
        <v>9</v>
      </c>
      <c r="I228" s="264">
        <v>1</v>
      </c>
      <c r="J228" s="264">
        <v>3</v>
      </c>
      <c r="K228" s="264"/>
      <c r="L228" s="262">
        <v>106</v>
      </c>
      <c r="M228" s="264">
        <v>272</v>
      </c>
      <c r="N228" s="265">
        <v>6646.7</v>
      </c>
      <c r="O228" s="266">
        <v>5744.5</v>
      </c>
      <c r="P228" s="267">
        <v>3088.5</v>
      </c>
      <c r="Q228" s="24"/>
      <c r="R228" s="22"/>
      <c r="S228" s="22"/>
      <c r="T228" s="22"/>
      <c r="U228" s="22"/>
      <c r="V228" s="22">
        <v>382.4</v>
      </c>
      <c r="W228" s="22">
        <v>519.8</v>
      </c>
      <c r="X228" s="22">
        <f t="shared" si="44"/>
        <v>497.12</v>
      </c>
      <c r="Y228" s="58">
        <f>X228/H228*3+W228</f>
        <v>685.5066666666667</v>
      </c>
      <c r="Z228" s="58">
        <f t="shared" si="45"/>
        <v>331.4133333333333</v>
      </c>
      <c r="AA228" s="25"/>
      <c r="AB228" s="38"/>
      <c r="AC228" s="175">
        <v>47</v>
      </c>
    </row>
    <row r="229" spans="1:29" ht="13.5" thickBot="1">
      <c r="A229" s="251"/>
      <c r="B229" s="252"/>
      <c r="C229" s="252"/>
      <c r="D229" s="253" t="s">
        <v>206</v>
      </c>
      <c r="E229" s="254"/>
      <c r="F229" s="254"/>
      <c r="G229" s="254"/>
      <c r="H229" s="255"/>
      <c r="I229" s="254">
        <f>SUM(I183:I228)</f>
        <v>46</v>
      </c>
      <c r="J229" s="255">
        <f>SUM(J183:J228)</f>
        <v>196</v>
      </c>
      <c r="K229" s="252">
        <f aca="true" t="shared" si="48" ref="K229:AB229">SUM(K183:K228)</f>
        <v>0</v>
      </c>
      <c r="L229" s="255">
        <f>SUM(L183:L228)</f>
        <v>2839</v>
      </c>
      <c r="M229" s="252">
        <f>SUM(M183:M228)</f>
        <v>8382</v>
      </c>
      <c r="N229" s="256">
        <f>SUM(N183:N228)</f>
        <v>182921.08000000002</v>
      </c>
      <c r="O229" s="257">
        <f>SUM(O183:O228)</f>
        <v>161824.09999999998</v>
      </c>
      <c r="P229" s="258">
        <f>SUM(P183:P228)</f>
        <v>96164.6</v>
      </c>
      <c r="Q229" s="220">
        <f t="shared" si="48"/>
        <v>232.29999999999998</v>
      </c>
      <c r="R229" s="168">
        <f t="shared" si="48"/>
        <v>141.8</v>
      </c>
      <c r="S229" s="16">
        <f t="shared" si="48"/>
        <v>889.1999999999998</v>
      </c>
      <c r="T229" s="168">
        <f t="shared" si="48"/>
        <v>545.6</v>
      </c>
      <c r="U229" s="168">
        <f t="shared" si="48"/>
        <v>1084.7</v>
      </c>
      <c r="V229" s="168">
        <f t="shared" si="48"/>
        <v>14764.599999999997</v>
      </c>
      <c r="W229" s="168">
        <f t="shared" si="48"/>
        <v>4046.2999999999993</v>
      </c>
      <c r="X229" s="168">
        <f t="shared" si="48"/>
        <v>19193.98</v>
      </c>
      <c r="Y229" s="168">
        <f t="shared" si="48"/>
        <v>14115.138777777776</v>
      </c>
      <c r="Z229" s="168">
        <f t="shared" si="48"/>
        <v>9125.14122222222</v>
      </c>
      <c r="AA229" s="51">
        <f t="shared" si="48"/>
        <v>0</v>
      </c>
      <c r="AB229" s="52">
        <f t="shared" si="48"/>
        <v>3587.3499999999995</v>
      </c>
      <c r="AC229" s="172"/>
    </row>
    <row r="230" spans="1:26" s="223" customFormat="1" ht="13.5" thickBot="1">
      <c r="A230" s="245"/>
      <c r="B230" s="246"/>
      <c r="C230" s="246"/>
      <c r="D230" s="246" t="s">
        <v>220</v>
      </c>
      <c r="E230" s="246"/>
      <c r="F230" s="246"/>
      <c r="G230" s="246"/>
      <c r="H230" s="246"/>
      <c r="I230" s="247">
        <f aca="true" t="shared" si="49" ref="I230:O230">I69+I121+I181+I229+I155</f>
        <v>184</v>
      </c>
      <c r="J230" s="247">
        <f t="shared" si="49"/>
        <v>706</v>
      </c>
      <c r="K230" s="247">
        <f t="shared" si="49"/>
        <v>2</v>
      </c>
      <c r="L230" s="247">
        <f t="shared" si="49"/>
        <v>10456</v>
      </c>
      <c r="M230" s="247">
        <f t="shared" si="49"/>
        <v>30088</v>
      </c>
      <c r="N230" s="248">
        <f t="shared" si="49"/>
        <v>643505.24</v>
      </c>
      <c r="O230" s="248">
        <f t="shared" si="49"/>
        <v>554374.75</v>
      </c>
      <c r="P230" s="249"/>
      <c r="Q230" s="222"/>
      <c r="R230" s="221"/>
      <c r="S230" s="221"/>
      <c r="T230" s="221"/>
      <c r="U230" s="221"/>
      <c r="V230" s="221"/>
      <c r="W230" s="221"/>
      <c r="X230" s="221"/>
      <c r="Y230" s="221"/>
      <c r="Z230" s="221"/>
    </row>
    <row r="231" spans="1:27" ht="15.75">
      <c r="A231" s="177"/>
      <c r="B231" s="177"/>
      <c r="C231" s="177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1"/>
      <c r="O231" s="171"/>
      <c r="P231" s="171"/>
      <c r="Q231" s="171"/>
      <c r="R231" s="171"/>
      <c r="S231" s="171"/>
      <c r="T231" s="171"/>
      <c r="U231" s="171"/>
      <c r="V231" s="171"/>
      <c r="W231" s="171"/>
      <c r="X231" s="171"/>
      <c r="Y231" s="171"/>
      <c r="Z231" s="171"/>
      <c r="AA231" s="171"/>
    </row>
    <row r="232" spans="1:27" ht="12.75">
      <c r="A232" s="177"/>
      <c r="B232" s="177"/>
      <c r="C232" s="177"/>
      <c r="D232" s="177"/>
      <c r="E232" s="177"/>
      <c r="F232" s="177"/>
      <c r="G232" s="177"/>
      <c r="H232" s="177"/>
      <c r="I232" s="177"/>
      <c r="J232" s="177"/>
      <c r="K232" s="177"/>
      <c r="L232" s="177"/>
      <c r="M232" s="177"/>
      <c r="N232" s="178"/>
      <c r="O232" s="178"/>
      <c r="P232" s="178"/>
      <c r="Q232" s="178"/>
      <c r="R232" s="178"/>
      <c r="S232" s="178"/>
      <c r="T232" s="178"/>
      <c r="U232" s="178"/>
      <c r="V232" s="178"/>
      <c r="W232" s="178"/>
      <c r="X232" s="178"/>
      <c r="Y232" s="178"/>
      <c r="Z232" s="178"/>
      <c r="AA232" s="178"/>
    </row>
    <row r="233" spans="1:27" ht="12.75">
      <c r="A233" s="177"/>
      <c r="B233" s="177"/>
      <c r="C233" s="177"/>
      <c r="D233" s="177"/>
      <c r="E233" s="177"/>
      <c r="F233" s="177"/>
      <c r="G233" s="177"/>
      <c r="H233" s="177"/>
      <c r="I233" s="177"/>
      <c r="J233" s="177"/>
      <c r="K233" s="177"/>
      <c r="L233" s="177"/>
      <c r="M233" s="177"/>
      <c r="N233" s="178"/>
      <c r="O233" s="178"/>
      <c r="P233" s="178"/>
      <c r="Q233" s="178"/>
      <c r="R233" s="178"/>
      <c r="S233" s="178"/>
      <c r="T233" s="178"/>
      <c r="U233" s="178"/>
      <c r="V233" s="178"/>
      <c r="W233" s="178"/>
      <c r="X233" s="178"/>
      <c r="Y233" s="178"/>
      <c r="Z233" s="178"/>
      <c r="AA233" s="178"/>
    </row>
    <row r="234" spans="1:27" ht="14.25" customHeight="1">
      <c r="A234" s="171" t="s">
        <v>219</v>
      </c>
      <c r="B234" s="171"/>
      <c r="C234" s="171"/>
      <c r="D234" s="171"/>
      <c r="E234" s="171"/>
      <c r="F234" s="171"/>
      <c r="G234" s="171"/>
      <c r="H234" s="171"/>
      <c r="I234" s="171"/>
      <c r="J234" s="171"/>
      <c r="K234" s="171"/>
      <c r="L234" s="171"/>
      <c r="M234" s="171"/>
      <c r="N234" s="171"/>
      <c r="O234" s="171"/>
      <c r="P234" s="171"/>
      <c r="Q234" s="171"/>
      <c r="R234" s="171"/>
      <c r="S234" s="171"/>
      <c r="T234" s="171"/>
      <c r="U234" s="171"/>
      <c r="V234" s="171"/>
      <c r="W234" s="171"/>
      <c r="X234" s="171"/>
      <c r="Y234" s="171"/>
      <c r="Z234" s="171"/>
      <c r="AA234" s="171"/>
    </row>
    <row r="235" spans="1:27" s="208" customFormat="1" ht="15.75">
      <c r="A235" s="170"/>
      <c r="B235" s="170" t="s">
        <v>226</v>
      </c>
      <c r="C235" s="170"/>
      <c r="D235" s="170"/>
      <c r="E235" s="170"/>
      <c r="H235" s="170"/>
      <c r="I235" s="170"/>
      <c r="J235" s="170"/>
      <c r="K235" s="170"/>
      <c r="L235" s="170"/>
      <c r="N235" s="170" t="s">
        <v>222</v>
      </c>
      <c r="O235" s="171"/>
      <c r="P235" s="171"/>
      <c r="Q235" s="171"/>
      <c r="R235" s="171"/>
      <c r="S235" s="171"/>
      <c r="T235" s="171"/>
      <c r="U235" s="171"/>
      <c r="V235" s="171"/>
      <c r="W235" s="171"/>
      <c r="X235" s="171"/>
      <c r="Y235" s="171"/>
      <c r="Z235" s="171"/>
      <c r="AA235" s="171"/>
    </row>
    <row r="236" spans="1:27" ht="12.75">
      <c r="A236" s="177"/>
      <c r="B236" s="177"/>
      <c r="C236" s="177"/>
      <c r="D236" s="177"/>
      <c r="E236" s="177"/>
      <c r="F236" s="177"/>
      <c r="G236" s="177"/>
      <c r="H236" s="177"/>
      <c r="I236" s="177"/>
      <c r="J236" s="177"/>
      <c r="K236" s="177"/>
      <c r="L236" s="177"/>
      <c r="M236" s="177"/>
      <c r="N236" s="178"/>
      <c r="O236" s="178"/>
      <c r="P236" s="178"/>
      <c r="Q236" s="178"/>
      <c r="R236" s="178"/>
      <c r="S236" s="178"/>
      <c r="T236" s="178"/>
      <c r="U236" s="178"/>
      <c r="V236" s="178"/>
      <c r="W236" s="178"/>
      <c r="X236" s="178"/>
      <c r="Y236" s="178"/>
      <c r="Z236" s="178"/>
      <c r="AA236" s="178"/>
    </row>
    <row r="237" spans="1:27" ht="17.25" customHeight="1">
      <c r="A237" s="177"/>
      <c r="B237" s="177"/>
      <c r="C237" s="177"/>
      <c r="D237" s="177"/>
      <c r="E237" s="177"/>
      <c r="F237" s="177"/>
      <c r="G237" s="177"/>
      <c r="H237" s="177"/>
      <c r="I237" s="177"/>
      <c r="J237" s="177"/>
      <c r="K237" s="177"/>
      <c r="L237" s="177"/>
      <c r="M237" s="177"/>
      <c r="N237" s="178"/>
      <c r="O237" s="178"/>
      <c r="P237" s="178"/>
      <c r="Q237" s="178"/>
      <c r="R237" s="178"/>
      <c r="S237" s="178"/>
      <c r="T237" s="178"/>
      <c r="U237" s="178"/>
      <c r="V237" s="178"/>
      <c r="W237" s="178"/>
      <c r="X237" s="178"/>
      <c r="Y237" s="178"/>
      <c r="Z237" s="178"/>
      <c r="AA237" s="178"/>
    </row>
    <row r="238" spans="1:27" ht="12.75">
      <c r="A238" s="179" t="s">
        <v>209</v>
      </c>
      <c r="B238" s="179"/>
      <c r="C238" s="179"/>
      <c r="D238" s="180"/>
      <c r="E238" s="177"/>
      <c r="F238" s="177"/>
      <c r="G238" s="177"/>
      <c r="H238" s="177"/>
      <c r="I238" s="177"/>
      <c r="J238" s="177"/>
      <c r="K238" s="177"/>
      <c r="L238" s="177"/>
      <c r="M238" s="177"/>
      <c r="N238" s="178"/>
      <c r="O238" s="178"/>
      <c r="P238" s="178"/>
      <c r="Q238" s="178"/>
      <c r="R238" s="178"/>
      <c r="S238" s="178"/>
      <c r="T238" s="178"/>
      <c r="U238" s="178"/>
      <c r="V238" s="178"/>
      <c r="W238" s="178"/>
      <c r="X238" s="178"/>
      <c r="Y238" s="178"/>
      <c r="Z238" s="178"/>
      <c r="AA238" s="178"/>
    </row>
    <row r="239" spans="1:27" ht="12.75">
      <c r="A239" s="179" t="s">
        <v>210</v>
      </c>
      <c r="B239" s="177"/>
      <c r="C239" s="177"/>
      <c r="D239" s="177"/>
      <c r="E239" s="177"/>
      <c r="F239" s="177"/>
      <c r="G239" s="177"/>
      <c r="H239" s="177"/>
      <c r="I239" s="177"/>
      <c r="J239" s="177"/>
      <c r="K239" s="177"/>
      <c r="L239" s="177"/>
      <c r="M239" s="177"/>
      <c r="N239" s="178"/>
      <c r="O239" s="178"/>
      <c r="P239" s="178"/>
      <c r="Q239" s="178"/>
      <c r="R239" s="178"/>
      <c r="S239" s="178"/>
      <c r="T239" s="178"/>
      <c r="U239" s="178"/>
      <c r="V239" s="178"/>
      <c r="W239" s="178"/>
      <c r="X239" s="178"/>
      <c r="Y239" s="178"/>
      <c r="Z239" s="178"/>
      <c r="AA239" s="178"/>
    </row>
    <row r="240" spans="1:27" ht="12.75">
      <c r="A240" s="177"/>
      <c r="B240" s="177"/>
      <c r="C240" s="177"/>
      <c r="D240" s="177"/>
      <c r="E240" s="177"/>
      <c r="F240" s="177"/>
      <c r="G240" s="177"/>
      <c r="H240" s="177"/>
      <c r="I240" s="177"/>
      <c r="J240" s="177"/>
      <c r="K240" s="177"/>
      <c r="L240" s="177"/>
      <c r="M240" s="177"/>
      <c r="N240" s="178"/>
      <c r="O240" s="178"/>
      <c r="P240" s="178"/>
      <c r="Q240" s="178"/>
      <c r="R240" s="178"/>
      <c r="S240" s="178"/>
      <c r="T240" s="178"/>
      <c r="U240" s="178"/>
      <c r="V240" s="178"/>
      <c r="W240" s="178"/>
      <c r="X240" s="178"/>
      <c r="Y240" s="178"/>
      <c r="Z240" s="178"/>
      <c r="AA240" s="178"/>
    </row>
    <row r="241" spans="1:27" ht="12.75">
      <c r="A241" s="177"/>
      <c r="B241" s="177"/>
      <c r="C241" s="177"/>
      <c r="D241" s="177"/>
      <c r="E241" s="177"/>
      <c r="F241" s="177"/>
      <c r="G241" s="177"/>
      <c r="H241" s="177"/>
      <c r="I241" s="177"/>
      <c r="J241" s="177"/>
      <c r="K241" s="177"/>
      <c r="L241" s="177"/>
      <c r="M241" s="177"/>
      <c r="N241" s="178"/>
      <c r="O241" s="178"/>
      <c r="P241" s="178"/>
      <c r="Q241" s="178"/>
      <c r="R241" s="178"/>
      <c r="S241" s="178"/>
      <c r="T241" s="178"/>
      <c r="U241" s="178"/>
      <c r="V241" s="178"/>
      <c r="W241" s="178"/>
      <c r="X241" s="178"/>
      <c r="Y241" s="178"/>
      <c r="Z241" s="178"/>
      <c r="AA241" s="178"/>
    </row>
    <row r="242" spans="1:27" ht="12.75">
      <c r="A242" s="177"/>
      <c r="B242" s="177"/>
      <c r="C242" s="177"/>
      <c r="D242" s="177"/>
      <c r="E242" s="177"/>
      <c r="F242" s="177"/>
      <c r="G242" s="177"/>
      <c r="H242" s="177"/>
      <c r="I242" s="177"/>
      <c r="J242" s="177"/>
      <c r="K242" s="177"/>
      <c r="L242" s="177"/>
      <c r="M242" s="177"/>
      <c r="N242" s="178"/>
      <c r="O242" s="178"/>
      <c r="P242" s="178"/>
      <c r="Q242" s="178"/>
      <c r="R242" s="178"/>
      <c r="S242" s="178"/>
      <c r="T242" s="178"/>
      <c r="U242" s="178"/>
      <c r="V242" s="178"/>
      <c r="W242" s="178"/>
      <c r="X242" s="178"/>
      <c r="Y242" s="178"/>
      <c r="Z242" s="178"/>
      <c r="AA242" s="178"/>
    </row>
    <row r="243" spans="1:27" ht="12.75">
      <c r="A243" s="177"/>
      <c r="B243" s="177"/>
      <c r="C243" s="177"/>
      <c r="D243" s="177"/>
      <c r="E243" s="177"/>
      <c r="F243" s="177"/>
      <c r="G243" s="177"/>
      <c r="H243" s="177"/>
      <c r="I243" s="177"/>
      <c r="J243" s="177"/>
      <c r="K243" s="177"/>
      <c r="L243" s="177"/>
      <c r="M243" s="177"/>
      <c r="N243" s="178"/>
      <c r="O243" s="178"/>
      <c r="P243" s="178"/>
      <c r="Q243" s="178"/>
      <c r="R243" s="178"/>
      <c r="S243" s="178"/>
      <c r="T243" s="178"/>
      <c r="U243" s="178"/>
      <c r="V243" s="178"/>
      <c r="W243" s="178"/>
      <c r="X243" s="178"/>
      <c r="Y243" s="178"/>
      <c r="Z243" s="178"/>
      <c r="AA243" s="178"/>
    </row>
    <row r="244" spans="1:27" ht="12.75">
      <c r="A244" s="177"/>
      <c r="B244" s="177"/>
      <c r="C244" s="177"/>
      <c r="D244" s="177"/>
      <c r="E244" s="177"/>
      <c r="F244" s="177"/>
      <c r="G244" s="177"/>
      <c r="H244" s="177"/>
      <c r="I244" s="177"/>
      <c r="J244" s="177"/>
      <c r="K244" s="177"/>
      <c r="L244" s="177"/>
      <c r="M244" s="177"/>
      <c r="N244" s="178"/>
      <c r="O244" s="178"/>
      <c r="P244" s="178"/>
      <c r="Q244" s="178"/>
      <c r="R244" s="178"/>
      <c r="S244" s="178"/>
      <c r="T244" s="178"/>
      <c r="U244" s="178"/>
      <c r="V244" s="178"/>
      <c r="W244" s="178"/>
      <c r="X244" s="178"/>
      <c r="Y244" s="178"/>
      <c r="Z244" s="178"/>
      <c r="AA244" s="178"/>
    </row>
    <row r="245" spans="1:27" ht="12.75">
      <c r="A245" s="177"/>
      <c r="B245" s="177"/>
      <c r="C245" s="177"/>
      <c r="D245" s="177"/>
      <c r="E245" s="177"/>
      <c r="F245" s="177"/>
      <c r="G245" s="177"/>
      <c r="H245" s="177"/>
      <c r="I245" s="177"/>
      <c r="J245" s="177"/>
      <c r="K245" s="177"/>
      <c r="L245" s="177"/>
      <c r="M245" s="177"/>
      <c r="N245" s="178"/>
      <c r="O245" s="178"/>
      <c r="P245" s="178"/>
      <c r="Q245" s="178"/>
      <c r="R245" s="178"/>
      <c r="S245" s="178"/>
      <c r="T245" s="178"/>
      <c r="U245" s="178"/>
      <c r="V245" s="178"/>
      <c r="W245" s="178"/>
      <c r="X245" s="178"/>
      <c r="Y245" s="178"/>
      <c r="Z245" s="178"/>
      <c r="AA245" s="178"/>
    </row>
    <row r="246" spans="1:27" ht="12.75">
      <c r="A246" s="177"/>
      <c r="B246" s="177"/>
      <c r="C246" s="177"/>
      <c r="D246" s="177"/>
      <c r="E246" s="177"/>
      <c r="F246" s="177"/>
      <c r="G246" s="177"/>
      <c r="H246" s="177"/>
      <c r="I246" s="177"/>
      <c r="J246" s="177"/>
      <c r="K246" s="177"/>
      <c r="L246" s="177"/>
      <c r="M246" s="177"/>
      <c r="N246" s="178"/>
      <c r="O246" s="178"/>
      <c r="P246" s="178"/>
      <c r="Q246" s="178"/>
      <c r="R246" s="178"/>
      <c r="S246" s="178"/>
      <c r="T246" s="178"/>
      <c r="U246" s="178"/>
      <c r="V246" s="178"/>
      <c r="W246" s="178"/>
      <c r="X246" s="178"/>
      <c r="Y246" s="178"/>
      <c r="Z246" s="178"/>
      <c r="AA246" s="178"/>
    </row>
    <row r="247" spans="1:27" ht="12.75">
      <c r="A247" s="177"/>
      <c r="B247" s="177"/>
      <c r="C247" s="177"/>
      <c r="D247" s="177"/>
      <c r="E247" s="177"/>
      <c r="F247" s="177"/>
      <c r="G247" s="177"/>
      <c r="H247" s="177"/>
      <c r="I247" s="177"/>
      <c r="J247" s="177"/>
      <c r="K247" s="177"/>
      <c r="L247" s="177"/>
      <c r="M247" s="177"/>
      <c r="N247" s="178"/>
      <c r="O247" s="178"/>
      <c r="P247" s="178"/>
      <c r="Q247" s="178"/>
      <c r="R247" s="178"/>
      <c r="S247" s="178"/>
      <c r="T247" s="178"/>
      <c r="U247" s="178"/>
      <c r="V247" s="178"/>
      <c r="W247" s="178"/>
      <c r="X247" s="178"/>
      <c r="Y247" s="178"/>
      <c r="Z247" s="178"/>
      <c r="AA247" s="178"/>
    </row>
    <row r="248" spans="1:27" ht="12.75">
      <c r="A248" s="177"/>
      <c r="B248" s="177"/>
      <c r="C248" s="177"/>
      <c r="D248" s="177"/>
      <c r="E248" s="177"/>
      <c r="F248" s="177"/>
      <c r="G248" s="177"/>
      <c r="H248" s="177"/>
      <c r="I248" s="177"/>
      <c r="J248" s="177"/>
      <c r="K248" s="177"/>
      <c r="L248" s="177"/>
      <c r="M248" s="177"/>
      <c r="N248" s="178"/>
      <c r="O248" s="178"/>
      <c r="P248" s="178"/>
      <c r="Q248" s="178"/>
      <c r="R248" s="178"/>
      <c r="S248" s="178"/>
      <c r="T248" s="178"/>
      <c r="U248" s="178"/>
      <c r="V248" s="178"/>
      <c r="W248" s="178"/>
      <c r="X248" s="178"/>
      <c r="Y248" s="178"/>
      <c r="Z248" s="178"/>
      <c r="AA248" s="178"/>
    </row>
    <row r="249" spans="1:27" ht="12.75">
      <c r="A249" s="177"/>
      <c r="B249" s="177"/>
      <c r="C249" s="177"/>
      <c r="D249" s="177"/>
      <c r="E249" s="177"/>
      <c r="F249" s="177"/>
      <c r="G249" s="177"/>
      <c r="H249" s="177"/>
      <c r="I249" s="177"/>
      <c r="J249" s="177"/>
      <c r="K249" s="177"/>
      <c r="L249" s="177"/>
      <c r="M249" s="177"/>
      <c r="N249" s="178"/>
      <c r="O249" s="178"/>
      <c r="P249" s="178"/>
      <c r="Q249" s="178"/>
      <c r="R249" s="178"/>
      <c r="S249" s="178"/>
      <c r="T249" s="178"/>
      <c r="U249" s="178"/>
      <c r="V249" s="178"/>
      <c r="W249" s="178"/>
      <c r="X249" s="178"/>
      <c r="Y249" s="178"/>
      <c r="Z249" s="178"/>
      <c r="AA249" s="178"/>
    </row>
    <row r="250" spans="1:27" ht="12.75">
      <c r="A250" s="177"/>
      <c r="B250" s="177"/>
      <c r="C250" s="177"/>
      <c r="D250" s="177"/>
      <c r="E250" s="177"/>
      <c r="F250" s="177"/>
      <c r="G250" s="177"/>
      <c r="H250" s="177"/>
      <c r="I250" s="177"/>
      <c r="J250" s="177"/>
      <c r="K250" s="177"/>
      <c r="L250" s="177"/>
      <c r="M250" s="177"/>
      <c r="N250" s="178"/>
      <c r="O250" s="178"/>
      <c r="P250" s="178"/>
      <c r="Q250" s="178"/>
      <c r="R250" s="178"/>
      <c r="S250" s="178"/>
      <c r="T250" s="178"/>
      <c r="U250" s="178"/>
      <c r="V250" s="178"/>
      <c r="W250" s="178"/>
      <c r="X250" s="178"/>
      <c r="Y250" s="178"/>
      <c r="Z250" s="178"/>
      <c r="AA250" s="178"/>
    </row>
    <row r="251" spans="1:27" ht="12.75">
      <c r="A251" s="177"/>
      <c r="B251" s="177"/>
      <c r="C251" s="177"/>
      <c r="D251" s="177"/>
      <c r="E251" s="177"/>
      <c r="F251" s="177"/>
      <c r="G251" s="177"/>
      <c r="H251" s="177"/>
      <c r="I251" s="177"/>
      <c r="J251" s="177"/>
      <c r="K251" s="177"/>
      <c r="L251" s="177"/>
      <c r="M251" s="177"/>
      <c r="N251" s="178"/>
      <c r="O251" s="178"/>
      <c r="P251" s="178"/>
      <c r="Q251" s="178"/>
      <c r="R251" s="178"/>
      <c r="S251" s="178"/>
      <c r="T251" s="178"/>
      <c r="U251" s="178"/>
      <c r="V251" s="178"/>
      <c r="W251" s="178"/>
      <c r="X251" s="178"/>
      <c r="Y251" s="178"/>
      <c r="Z251" s="178"/>
      <c r="AA251" s="178"/>
    </row>
    <row r="252" spans="1:27" ht="12.75">
      <c r="A252" s="177"/>
      <c r="B252" s="177"/>
      <c r="C252" s="177"/>
      <c r="D252" s="177"/>
      <c r="E252" s="177"/>
      <c r="F252" s="177"/>
      <c r="G252" s="177"/>
      <c r="H252" s="177"/>
      <c r="I252" s="177"/>
      <c r="J252" s="177"/>
      <c r="K252" s="177"/>
      <c r="L252" s="177"/>
      <c r="M252" s="177"/>
      <c r="N252" s="178"/>
      <c r="O252" s="178"/>
      <c r="P252" s="178"/>
      <c r="Q252" s="178"/>
      <c r="R252" s="178"/>
      <c r="S252" s="178"/>
      <c r="T252" s="178"/>
      <c r="U252" s="178"/>
      <c r="V252" s="178"/>
      <c r="W252" s="178"/>
      <c r="X252" s="178"/>
      <c r="Y252" s="178"/>
      <c r="Z252" s="178"/>
      <c r="AA252" s="178"/>
    </row>
    <row r="253" spans="1:27" ht="12.75">
      <c r="A253" s="177"/>
      <c r="B253" s="177"/>
      <c r="C253" s="177"/>
      <c r="D253" s="177"/>
      <c r="E253" s="177"/>
      <c r="F253" s="177"/>
      <c r="G253" s="177"/>
      <c r="H253" s="177"/>
      <c r="I253" s="177"/>
      <c r="J253" s="177"/>
      <c r="K253" s="177"/>
      <c r="L253" s="177"/>
      <c r="M253" s="177"/>
      <c r="N253" s="178"/>
      <c r="O253" s="178"/>
      <c r="P253" s="178"/>
      <c r="Q253" s="178"/>
      <c r="R253" s="178"/>
      <c r="S253" s="178"/>
      <c r="T253" s="178"/>
      <c r="U253" s="178"/>
      <c r="V253" s="178"/>
      <c r="W253" s="178"/>
      <c r="X253" s="178"/>
      <c r="Y253" s="178"/>
      <c r="Z253" s="178"/>
      <c r="AA253" s="178"/>
    </row>
    <row r="254" spans="1:27" ht="12.75">
      <c r="A254" s="177"/>
      <c r="B254" s="177"/>
      <c r="C254" s="177"/>
      <c r="D254" s="177"/>
      <c r="E254" s="177"/>
      <c r="F254" s="177"/>
      <c r="G254" s="177"/>
      <c r="H254" s="177"/>
      <c r="I254" s="177"/>
      <c r="J254" s="177"/>
      <c r="K254" s="177"/>
      <c r="L254" s="177"/>
      <c r="M254" s="177"/>
      <c r="N254" s="178"/>
      <c r="O254" s="178"/>
      <c r="P254" s="178"/>
      <c r="Q254" s="178"/>
      <c r="R254" s="178"/>
      <c r="S254" s="178"/>
      <c r="T254" s="178"/>
      <c r="U254" s="178"/>
      <c r="V254" s="178"/>
      <c r="W254" s="178"/>
      <c r="X254" s="178"/>
      <c r="Y254" s="178"/>
      <c r="Z254" s="178"/>
      <c r="AA254" s="178"/>
    </row>
    <row r="255" spans="1:27" ht="12.75">
      <c r="A255" s="177"/>
      <c r="B255" s="177"/>
      <c r="C255" s="177"/>
      <c r="D255" s="177"/>
      <c r="E255" s="177"/>
      <c r="F255" s="177"/>
      <c r="G255" s="177"/>
      <c r="H255" s="177"/>
      <c r="I255" s="177"/>
      <c r="J255" s="177"/>
      <c r="K255" s="177"/>
      <c r="L255" s="177"/>
      <c r="M255" s="177"/>
      <c r="N255" s="178"/>
      <c r="O255" s="178"/>
      <c r="P255" s="178"/>
      <c r="Q255" s="178"/>
      <c r="R255" s="178"/>
      <c r="S255" s="178"/>
      <c r="T255" s="178"/>
      <c r="U255" s="178"/>
      <c r="V255" s="178"/>
      <c r="W255" s="178"/>
      <c r="X255" s="178"/>
      <c r="Y255" s="178"/>
      <c r="Z255" s="178"/>
      <c r="AA255" s="178"/>
    </row>
    <row r="256" spans="1:27" ht="12.75">
      <c r="A256" s="177"/>
      <c r="B256" s="177"/>
      <c r="C256" s="177"/>
      <c r="D256" s="177"/>
      <c r="E256" s="177"/>
      <c r="F256" s="177"/>
      <c r="G256" s="177"/>
      <c r="H256" s="177"/>
      <c r="I256" s="177"/>
      <c r="J256" s="177"/>
      <c r="K256" s="177"/>
      <c r="L256" s="177"/>
      <c r="M256" s="177"/>
      <c r="N256" s="178"/>
      <c r="O256" s="178"/>
      <c r="P256" s="178"/>
      <c r="Q256" s="178"/>
      <c r="R256" s="178"/>
      <c r="S256" s="178"/>
      <c r="T256" s="178"/>
      <c r="U256" s="178"/>
      <c r="V256" s="178"/>
      <c r="W256" s="178"/>
      <c r="X256" s="178"/>
      <c r="Y256" s="178"/>
      <c r="Z256" s="178"/>
      <c r="AA256" s="178"/>
    </row>
    <row r="257" spans="1:27" ht="12.75">
      <c r="A257" s="177"/>
      <c r="B257" s="177"/>
      <c r="C257" s="177"/>
      <c r="D257" s="177"/>
      <c r="E257" s="177"/>
      <c r="F257" s="177"/>
      <c r="G257" s="177"/>
      <c r="H257" s="177"/>
      <c r="I257" s="177"/>
      <c r="J257" s="177"/>
      <c r="K257" s="177"/>
      <c r="L257" s="177"/>
      <c r="M257" s="177"/>
      <c r="N257" s="178"/>
      <c r="O257" s="178"/>
      <c r="P257" s="178"/>
      <c r="Q257" s="178"/>
      <c r="R257" s="178"/>
      <c r="S257" s="178"/>
      <c r="T257" s="178"/>
      <c r="U257" s="178"/>
      <c r="V257" s="178"/>
      <c r="W257" s="178"/>
      <c r="X257" s="178"/>
      <c r="Y257" s="178"/>
      <c r="Z257" s="178"/>
      <c r="AA257" s="178"/>
    </row>
    <row r="258" spans="1:27" ht="12.75">
      <c r="A258" s="177"/>
      <c r="B258" s="177"/>
      <c r="C258" s="177"/>
      <c r="D258" s="177"/>
      <c r="E258" s="177"/>
      <c r="F258" s="177"/>
      <c r="G258" s="177"/>
      <c r="H258" s="177"/>
      <c r="I258" s="177"/>
      <c r="J258" s="177"/>
      <c r="K258" s="177"/>
      <c r="L258" s="177"/>
      <c r="M258" s="177"/>
      <c r="N258" s="178"/>
      <c r="O258" s="178"/>
      <c r="P258" s="178"/>
      <c r="Q258" s="178"/>
      <c r="R258" s="178"/>
      <c r="S258" s="178"/>
      <c r="T258" s="178"/>
      <c r="U258" s="178"/>
      <c r="V258" s="178"/>
      <c r="W258" s="178"/>
      <c r="X258" s="178"/>
      <c r="Y258" s="178"/>
      <c r="Z258" s="178"/>
      <c r="AA258" s="178"/>
    </row>
    <row r="259" spans="1:27" ht="12.75">
      <c r="A259" s="177"/>
      <c r="B259" s="177"/>
      <c r="C259" s="177"/>
      <c r="D259" s="177"/>
      <c r="E259" s="177"/>
      <c r="F259" s="177"/>
      <c r="G259" s="177"/>
      <c r="H259" s="177"/>
      <c r="I259" s="177"/>
      <c r="J259" s="177"/>
      <c r="K259" s="177"/>
      <c r="L259" s="177"/>
      <c r="M259" s="177"/>
      <c r="N259" s="178"/>
      <c r="O259" s="178"/>
      <c r="P259" s="178"/>
      <c r="Q259" s="178"/>
      <c r="R259" s="178"/>
      <c r="S259" s="178"/>
      <c r="T259" s="178"/>
      <c r="U259" s="178"/>
      <c r="V259" s="178"/>
      <c r="W259" s="178"/>
      <c r="X259" s="178"/>
      <c r="Y259" s="178"/>
      <c r="Z259" s="178"/>
      <c r="AA259" s="178"/>
    </row>
    <row r="260" spans="1:27" ht="12.75">
      <c r="A260" s="177"/>
      <c r="B260" s="177"/>
      <c r="C260" s="177"/>
      <c r="D260" s="177"/>
      <c r="E260" s="177"/>
      <c r="F260" s="177"/>
      <c r="G260" s="177"/>
      <c r="H260" s="177"/>
      <c r="I260" s="177"/>
      <c r="J260" s="177"/>
      <c r="K260" s="177"/>
      <c r="L260" s="177"/>
      <c r="M260" s="177"/>
      <c r="N260" s="178"/>
      <c r="O260" s="178"/>
      <c r="P260" s="178"/>
      <c r="Q260" s="178"/>
      <c r="R260" s="178"/>
      <c r="S260" s="178"/>
      <c r="T260" s="178"/>
      <c r="U260" s="178"/>
      <c r="V260" s="178"/>
      <c r="W260" s="178"/>
      <c r="X260" s="178"/>
      <c r="Y260" s="178"/>
      <c r="Z260" s="178"/>
      <c r="AA260" s="178"/>
    </row>
    <row r="261" spans="1:27" ht="12.75">
      <c r="A261" s="177"/>
      <c r="B261" s="177"/>
      <c r="C261" s="177"/>
      <c r="D261" s="177"/>
      <c r="E261" s="177"/>
      <c r="F261" s="177"/>
      <c r="G261" s="177"/>
      <c r="H261" s="177"/>
      <c r="I261" s="177"/>
      <c r="J261" s="177"/>
      <c r="K261" s="177"/>
      <c r="L261" s="177"/>
      <c r="M261" s="177"/>
      <c r="N261" s="178"/>
      <c r="O261" s="178"/>
      <c r="P261" s="178"/>
      <c r="Q261" s="178"/>
      <c r="R261" s="178"/>
      <c r="S261" s="178"/>
      <c r="T261" s="178"/>
      <c r="U261" s="178"/>
      <c r="V261" s="178"/>
      <c r="W261" s="178"/>
      <c r="X261" s="178"/>
      <c r="Y261" s="178"/>
      <c r="Z261" s="178"/>
      <c r="AA261" s="178"/>
    </row>
    <row r="262" spans="1:27" ht="12.75">
      <c r="A262" s="177"/>
      <c r="B262" s="177"/>
      <c r="C262" s="177"/>
      <c r="D262" s="177"/>
      <c r="E262" s="177"/>
      <c r="F262" s="177"/>
      <c r="G262" s="177"/>
      <c r="H262" s="177"/>
      <c r="I262" s="177"/>
      <c r="J262" s="177"/>
      <c r="K262" s="177"/>
      <c r="L262" s="177"/>
      <c r="M262" s="177"/>
      <c r="N262" s="178"/>
      <c r="O262" s="178"/>
      <c r="P262" s="178"/>
      <c r="Q262" s="178"/>
      <c r="R262" s="178"/>
      <c r="S262" s="178"/>
      <c r="T262" s="178"/>
      <c r="U262" s="178"/>
      <c r="V262" s="178"/>
      <c r="W262" s="178"/>
      <c r="X262" s="178"/>
      <c r="Y262" s="178"/>
      <c r="Z262" s="178"/>
      <c r="AA262" s="178"/>
    </row>
    <row r="263" spans="1:27" ht="12.75">
      <c r="A263" s="177"/>
      <c r="B263" s="177"/>
      <c r="C263" s="177"/>
      <c r="D263" s="177"/>
      <c r="E263" s="177"/>
      <c r="F263" s="177"/>
      <c r="G263" s="177"/>
      <c r="H263" s="177"/>
      <c r="I263" s="177"/>
      <c r="J263" s="177"/>
      <c r="K263" s="177"/>
      <c r="L263" s="177"/>
      <c r="M263" s="177"/>
      <c r="N263" s="178"/>
      <c r="O263" s="178"/>
      <c r="P263" s="178"/>
      <c r="Q263" s="178"/>
      <c r="R263" s="178"/>
      <c r="S263" s="178"/>
      <c r="T263" s="178"/>
      <c r="U263" s="178"/>
      <c r="V263" s="178"/>
      <c r="W263" s="178"/>
      <c r="X263" s="178"/>
      <c r="Y263" s="178"/>
      <c r="Z263" s="178"/>
      <c r="AA263" s="178"/>
    </row>
    <row r="264" spans="1:27" ht="12.75">
      <c r="A264" s="177"/>
      <c r="B264" s="177"/>
      <c r="C264" s="177"/>
      <c r="D264" s="177"/>
      <c r="E264" s="177"/>
      <c r="F264" s="177"/>
      <c r="G264" s="177"/>
      <c r="H264" s="177"/>
      <c r="I264" s="177"/>
      <c r="J264" s="177"/>
      <c r="K264" s="177"/>
      <c r="L264" s="177"/>
      <c r="M264" s="177"/>
      <c r="N264" s="178"/>
      <c r="O264" s="178"/>
      <c r="P264" s="178"/>
      <c r="Q264" s="178"/>
      <c r="R264" s="178"/>
      <c r="S264" s="178"/>
      <c r="T264" s="178"/>
      <c r="U264" s="178"/>
      <c r="V264" s="178"/>
      <c r="W264" s="178"/>
      <c r="X264" s="178"/>
      <c r="Y264" s="178"/>
      <c r="Z264" s="178"/>
      <c r="AA264" s="178"/>
    </row>
    <row r="265" spans="1:27" ht="12.75">
      <c r="A265" s="177"/>
      <c r="B265" s="177"/>
      <c r="C265" s="177"/>
      <c r="D265" s="177"/>
      <c r="E265" s="177"/>
      <c r="F265" s="177"/>
      <c r="G265" s="177"/>
      <c r="H265" s="177"/>
      <c r="I265" s="177"/>
      <c r="J265" s="177"/>
      <c r="K265" s="177"/>
      <c r="L265" s="177"/>
      <c r="M265" s="177"/>
      <c r="N265" s="178"/>
      <c r="O265" s="178"/>
      <c r="P265" s="178"/>
      <c r="Q265" s="178"/>
      <c r="R265" s="178"/>
      <c r="S265" s="178"/>
      <c r="T265" s="178"/>
      <c r="U265" s="178"/>
      <c r="V265" s="178"/>
      <c r="W265" s="178"/>
      <c r="X265" s="178"/>
      <c r="Y265" s="178"/>
      <c r="Z265" s="178"/>
      <c r="AA265" s="178"/>
    </row>
    <row r="266" spans="1:27" ht="12.75">
      <c r="A266" s="177"/>
      <c r="B266" s="177"/>
      <c r="C266" s="177"/>
      <c r="D266" s="177"/>
      <c r="E266" s="177"/>
      <c r="F266" s="177"/>
      <c r="G266" s="177"/>
      <c r="H266" s="177"/>
      <c r="I266" s="177"/>
      <c r="J266" s="177"/>
      <c r="K266" s="177"/>
      <c r="L266" s="177"/>
      <c r="M266" s="177"/>
      <c r="N266" s="178"/>
      <c r="O266" s="178"/>
      <c r="P266" s="178"/>
      <c r="Q266" s="178"/>
      <c r="R266" s="178"/>
      <c r="S266" s="178"/>
      <c r="T266" s="178"/>
      <c r="U266" s="178"/>
      <c r="V266" s="178"/>
      <c r="W266" s="178"/>
      <c r="X266" s="178"/>
      <c r="Y266" s="178"/>
      <c r="Z266" s="178"/>
      <c r="AA266" s="178"/>
    </row>
    <row r="267" spans="1:27" ht="12.75">
      <c r="A267" s="177"/>
      <c r="B267" s="177"/>
      <c r="C267" s="177"/>
      <c r="D267" s="177"/>
      <c r="E267" s="177"/>
      <c r="F267" s="177"/>
      <c r="G267" s="177"/>
      <c r="H267" s="177"/>
      <c r="I267" s="177"/>
      <c r="J267" s="177"/>
      <c r="K267" s="177"/>
      <c r="L267" s="177"/>
      <c r="M267" s="177"/>
      <c r="N267" s="178"/>
      <c r="O267" s="178"/>
      <c r="P267" s="178"/>
      <c r="Q267" s="178"/>
      <c r="R267" s="178"/>
      <c r="S267" s="178"/>
      <c r="T267" s="178"/>
      <c r="U267" s="178"/>
      <c r="V267" s="178"/>
      <c r="W267" s="178"/>
      <c r="X267" s="178"/>
      <c r="Y267" s="178"/>
      <c r="Z267" s="178"/>
      <c r="AA267" s="178"/>
    </row>
    <row r="268" spans="1:27" ht="12.75">
      <c r="A268" s="177"/>
      <c r="B268" s="177"/>
      <c r="C268" s="177"/>
      <c r="D268" s="177"/>
      <c r="E268" s="177"/>
      <c r="F268" s="177"/>
      <c r="G268" s="177"/>
      <c r="H268" s="177"/>
      <c r="I268" s="177"/>
      <c r="J268" s="177"/>
      <c r="K268" s="177"/>
      <c r="L268" s="177"/>
      <c r="M268" s="177"/>
      <c r="N268" s="178"/>
      <c r="O268" s="178"/>
      <c r="P268" s="178"/>
      <c r="Q268" s="178"/>
      <c r="R268" s="178"/>
      <c r="S268" s="178"/>
      <c r="T268" s="178"/>
      <c r="U268" s="178"/>
      <c r="V268" s="178"/>
      <c r="W268" s="178"/>
      <c r="X268" s="178"/>
      <c r="Y268" s="178"/>
      <c r="Z268" s="178"/>
      <c r="AA268" s="178"/>
    </row>
    <row r="269" spans="1:27" ht="12.75">
      <c r="A269" s="177"/>
      <c r="B269" s="177"/>
      <c r="C269" s="177"/>
      <c r="D269" s="177"/>
      <c r="E269" s="177"/>
      <c r="F269" s="177"/>
      <c r="G269" s="177"/>
      <c r="H269" s="177"/>
      <c r="I269" s="177"/>
      <c r="J269" s="177"/>
      <c r="K269" s="177"/>
      <c r="L269" s="177"/>
      <c r="M269" s="177"/>
      <c r="N269" s="178"/>
      <c r="O269" s="178"/>
      <c r="P269" s="178"/>
      <c r="Q269" s="178"/>
      <c r="R269" s="178"/>
      <c r="S269" s="178"/>
      <c r="T269" s="178"/>
      <c r="U269" s="178"/>
      <c r="V269" s="178"/>
      <c r="W269" s="178"/>
      <c r="X269" s="178"/>
      <c r="Y269" s="178"/>
      <c r="Z269" s="178"/>
      <c r="AA269" s="178"/>
    </row>
    <row r="270" spans="1:27" ht="12.75">
      <c r="A270" s="177"/>
      <c r="B270" s="177"/>
      <c r="C270" s="177"/>
      <c r="D270" s="177"/>
      <c r="E270" s="177"/>
      <c r="F270" s="177"/>
      <c r="G270" s="177"/>
      <c r="H270" s="177"/>
      <c r="I270" s="177"/>
      <c r="J270" s="177"/>
      <c r="K270" s="177"/>
      <c r="L270" s="177"/>
      <c r="M270" s="177"/>
      <c r="N270" s="178"/>
      <c r="O270" s="178"/>
      <c r="P270" s="178"/>
      <c r="Q270" s="178"/>
      <c r="R270" s="178"/>
      <c r="S270" s="178"/>
      <c r="T270" s="178"/>
      <c r="U270" s="178"/>
      <c r="V270" s="178"/>
      <c r="W270" s="178"/>
      <c r="X270" s="178"/>
      <c r="Y270" s="178"/>
      <c r="Z270" s="178"/>
      <c r="AA270" s="178"/>
    </row>
    <row r="271" spans="1:27" ht="12.75">
      <c r="A271" s="177"/>
      <c r="B271" s="177"/>
      <c r="C271" s="177"/>
      <c r="D271" s="177"/>
      <c r="E271" s="177"/>
      <c r="F271" s="177"/>
      <c r="G271" s="177"/>
      <c r="H271" s="177"/>
      <c r="I271" s="177"/>
      <c r="J271" s="177"/>
      <c r="K271" s="177"/>
      <c r="L271" s="177"/>
      <c r="M271" s="177"/>
      <c r="N271" s="178"/>
      <c r="O271" s="178"/>
      <c r="P271" s="178"/>
      <c r="Q271" s="178"/>
      <c r="R271" s="178"/>
      <c r="S271" s="178"/>
      <c r="T271" s="178"/>
      <c r="U271" s="178"/>
      <c r="V271" s="178"/>
      <c r="W271" s="178"/>
      <c r="X271" s="178"/>
      <c r="Y271" s="178"/>
      <c r="Z271" s="178"/>
      <c r="AA271" s="178"/>
    </row>
    <row r="272" spans="1:27" ht="12.75">
      <c r="A272" s="177"/>
      <c r="B272" s="177"/>
      <c r="C272" s="177"/>
      <c r="D272" s="177"/>
      <c r="E272" s="177"/>
      <c r="F272" s="177"/>
      <c r="G272" s="177"/>
      <c r="H272" s="177"/>
      <c r="I272" s="177"/>
      <c r="J272" s="177"/>
      <c r="K272" s="177"/>
      <c r="L272" s="177"/>
      <c r="M272" s="177"/>
      <c r="N272" s="178"/>
      <c r="O272" s="178"/>
      <c r="P272" s="178"/>
      <c r="Q272" s="178"/>
      <c r="R272" s="178"/>
      <c r="S272" s="178"/>
      <c r="T272" s="178"/>
      <c r="U272" s="178"/>
      <c r="V272" s="178"/>
      <c r="W272" s="178"/>
      <c r="X272" s="178"/>
      <c r="Y272" s="178"/>
      <c r="Z272" s="178"/>
      <c r="AA272" s="178"/>
    </row>
    <row r="273" spans="1:27" ht="12.75">
      <c r="A273" s="177"/>
      <c r="B273" s="177"/>
      <c r="C273" s="177"/>
      <c r="D273" s="177"/>
      <c r="E273" s="177"/>
      <c r="F273" s="177"/>
      <c r="G273" s="177"/>
      <c r="H273" s="177"/>
      <c r="I273" s="177"/>
      <c r="J273" s="177"/>
      <c r="K273" s="177"/>
      <c r="L273" s="177"/>
      <c r="M273" s="177"/>
      <c r="N273" s="178"/>
      <c r="O273" s="178"/>
      <c r="P273" s="178"/>
      <c r="Q273" s="178"/>
      <c r="R273" s="178"/>
      <c r="S273" s="178"/>
      <c r="T273" s="178"/>
      <c r="U273" s="178"/>
      <c r="V273" s="178"/>
      <c r="W273" s="178"/>
      <c r="X273" s="178"/>
      <c r="Y273" s="178"/>
      <c r="Z273" s="178"/>
      <c r="AA273" s="178"/>
    </row>
    <row r="274" spans="1:27" ht="12.75">
      <c r="A274" s="177"/>
      <c r="B274" s="177"/>
      <c r="C274" s="177"/>
      <c r="D274" s="177"/>
      <c r="E274" s="177"/>
      <c r="F274" s="177"/>
      <c r="G274" s="177"/>
      <c r="H274" s="177"/>
      <c r="I274" s="177"/>
      <c r="J274" s="177"/>
      <c r="K274" s="177"/>
      <c r="L274" s="177"/>
      <c r="M274" s="177"/>
      <c r="N274" s="178"/>
      <c r="O274" s="178"/>
      <c r="P274" s="178"/>
      <c r="Q274" s="178"/>
      <c r="R274" s="178"/>
      <c r="S274" s="178"/>
      <c r="T274" s="178"/>
      <c r="U274" s="178"/>
      <c r="V274" s="178"/>
      <c r="W274" s="178"/>
      <c r="X274" s="178"/>
      <c r="Y274" s="178"/>
      <c r="Z274" s="178"/>
      <c r="AA274" s="178"/>
    </row>
    <row r="275" spans="1:27" ht="12.75">
      <c r="A275" s="177"/>
      <c r="B275" s="177"/>
      <c r="C275" s="177"/>
      <c r="D275" s="177"/>
      <c r="E275" s="177"/>
      <c r="F275" s="177"/>
      <c r="G275" s="177"/>
      <c r="H275" s="177"/>
      <c r="I275" s="177"/>
      <c r="J275" s="177"/>
      <c r="K275" s="177"/>
      <c r="L275" s="177"/>
      <c r="M275" s="177"/>
      <c r="N275" s="178"/>
      <c r="O275" s="178"/>
      <c r="P275" s="178"/>
      <c r="Q275" s="178"/>
      <c r="R275" s="178"/>
      <c r="S275" s="178"/>
      <c r="T275" s="178"/>
      <c r="U275" s="178"/>
      <c r="V275" s="178"/>
      <c r="W275" s="178"/>
      <c r="X275" s="178"/>
      <c r="Y275" s="178"/>
      <c r="Z275" s="178"/>
      <c r="AA275" s="178"/>
    </row>
    <row r="276" spans="1:27" ht="12.75">
      <c r="A276" s="177"/>
      <c r="B276" s="177"/>
      <c r="C276" s="177"/>
      <c r="D276" s="177"/>
      <c r="E276" s="177"/>
      <c r="F276" s="177"/>
      <c r="G276" s="177"/>
      <c r="H276" s="177"/>
      <c r="I276" s="177"/>
      <c r="J276" s="177"/>
      <c r="K276" s="177"/>
      <c r="L276" s="177"/>
      <c r="M276" s="177"/>
      <c r="N276" s="178"/>
      <c r="O276" s="178"/>
      <c r="P276" s="178"/>
      <c r="Q276" s="178"/>
      <c r="R276" s="178"/>
      <c r="S276" s="178"/>
      <c r="T276" s="178"/>
      <c r="U276" s="178"/>
      <c r="V276" s="178"/>
      <c r="W276" s="178"/>
      <c r="X276" s="178"/>
      <c r="Y276" s="178"/>
      <c r="Z276" s="178"/>
      <c r="AA276" s="178"/>
    </row>
    <row r="277" spans="1:27" ht="12.75">
      <c r="A277" s="177"/>
      <c r="B277" s="177"/>
      <c r="C277" s="177"/>
      <c r="D277" s="177"/>
      <c r="E277" s="177"/>
      <c r="F277" s="177"/>
      <c r="G277" s="177"/>
      <c r="H277" s="177"/>
      <c r="I277" s="177"/>
      <c r="J277" s="177"/>
      <c r="K277" s="177"/>
      <c r="L277" s="177"/>
      <c r="M277" s="177"/>
      <c r="N277" s="178"/>
      <c r="O277" s="178"/>
      <c r="P277" s="178"/>
      <c r="Q277" s="178"/>
      <c r="R277" s="178"/>
      <c r="S277" s="178"/>
      <c r="T277" s="178"/>
      <c r="U277" s="178"/>
      <c r="V277" s="178"/>
      <c r="W277" s="178"/>
      <c r="X277" s="178"/>
      <c r="Y277" s="178"/>
      <c r="Z277" s="178"/>
      <c r="AA277" s="178"/>
    </row>
    <row r="278" spans="1:27" ht="12.75">
      <c r="A278" s="177"/>
      <c r="B278" s="177"/>
      <c r="C278" s="177"/>
      <c r="D278" s="177"/>
      <c r="E278" s="177"/>
      <c r="F278" s="177"/>
      <c r="G278" s="177"/>
      <c r="H278" s="177"/>
      <c r="I278" s="177"/>
      <c r="J278" s="177"/>
      <c r="K278" s="177"/>
      <c r="L278" s="177"/>
      <c r="M278" s="177"/>
      <c r="N278" s="178"/>
      <c r="O278" s="178"/>
      <c r="P278" s="178"/>
      <c r="Q278" s="178"/>
      <c r="R278" s="178"/>
      <c r="S278" s="178"/>
      <c r="T278" s="178"/>
      <c r="U278" s="178"/>
      <c r="V278" s="178"/>
      <c r="W278" s="178"/>
      <c r="X278" s="178"/>
      <c r="Y278" s="178"/>
      <c r="Z278" s="178"/>
      <c r="AA278" s="178"/>
    </row>
    <row r="279" spans="1:27" ht="12.75">
      <c r="A279" s="177"/>
      <c r="B279" s="177"/>
      <c r="C279" s="177"/>
      <c r="D279" s="177"/>
      <c r="E279" s="177"/>
      <c r="F279" s="177"/>
      <c r="G279" s="177"/>
      <c r="H279" s="177"/>
      <c r="I279" s="177"/>
      <c r="J279" s="177"/>
      <c r="K279" s="177"/>
      <c r="L279" s="177"/>
      <c r="M279" s="177"/>
      <c r="N279" s="178"/>
      <c r="O279" s="178"/>
      <c r="P279" s="178"/>
      <c r="Q279" s="178"/>
      <c r="R279" s="178"/>
      <c r="S279" s="178"/>
      <c r="T279" s="178"/>
      <c r="U279" s="178"/>
      <c r="V279" s="178"/>
      <c r="W279" s="178"/>
      <c r="X279" s="178"/>
      <c r="Y279" s="178"/>
      <c r="Z279" s="178"/>
      <c r="AA279" s="178"/>
    </row>
    <row r="280" spans="1:27" ht="12.75">
      <c r="A280" s="177"/>
      <c r="B280" s="177"/>
      <c r="C280" s="177"/>
      <c r="D280" s="177"/>
      <c r="E280" s="177"/>
      <c r="F280" s="177"/>
      <c r="G280" s="177"/>
      <c r="H280" s="177"/>
      <c r="I280" s="177"/>
      <c r="J280" s="177"/>
      <c r="K280" s="177"/>
      <c r="L280" s="177"/>
      <c r="M280" s="177"/>
      <c r="N280" s="178"/>
      <c r="O280" s="178"/>
      <c r="P280" s="178"/>
      <c r="Q280" s="178"/>
      <c r="R280" s="178"/>
      <c r="S280" s="178"/>
      <c r="T280" s="178"/>
      <c r="U280" s="178"/>
      <c r="V280" s="178"/>
      <c r="W280" s="178"/>
      <c r="X280" s="178"/>
      <c r="Y280" s="178"/>
      <c r="Z280" s="178"/>
      <c r="AA280" s="178"/>
    </row>
    <row r="281" spans="1:27" ht="12.75">
      <c r="A281" s="177"/>
      <c r="B281" s="177"/>
      <c r="C281" s="177"/>
      <c r="D281" s="177"/>
      <c r="E281" s="177"/>
      <c r="F281" s="177"/>
      <c r="G281" s="177"/>
      <c r="H281" s="177"/>
      <c r="I281" s="177"/>
      <c r="J281" s="177"/>
      <c r="K281" s="177"/>
      <c r="L281" s="177"/>
      <c r="M281" s="177"/>
      <c r="N281" s="178"/>
      <c r="O281" s="178"/>
      <c r="P281" s="178"/>
      <c r="Q281" s="178"/>
      <c r="R281" s="178"/>
      <c r="S281" s="178"/>
      <c r="T281" s="178"/>
      <c r="U281" s="178"/>
      <c r="V281" s="178"/>
      <c r="W281" s="178"/>
      <c r="X281" s="178"/>
      <c r="Y281" s="178"/>
      <c r="Z281" s="178"/>
      <c r="AA281" s="178"/>
    </row>
    <row r="282" spans="1:27" ht="12.75">
      <c r="A282" s="177"/>
      <c r="B282" s="177"/>
      <c r="C282" s="177"/>
      <c r="D282" s="177"/>
      <c r="E282" s="177"/>
      <c r="F282" s="177"/>
      <c r="G282" s="177"/>
      <c r="H282" s="177"/>
      <c r="I282" s="177"/>
      <c r="J282" s="177"/>
      <c r="K282" s="177"/>
      <c r="L282" s="177"/>
      <c r="M282" s="177"/>
      <c r="N282" s="178"/>
      <c r="O282" s="178"/>
      <c r="P282" s="178"/>
      <c r="Q282" s="178"/>
      <c r="R282" s="178"/>
      <c r="S282" s="178"/>
      <c r="T282" s="178"/>
      <c r="U282" s="178"/>
      <c r="V282" s="178"/>
      <c r="W282" s="178"/>
      <c r="X282" s="178"/>
      <c r="Y282" s="178"/>
      <c r="Z282" s="178"/>
      <c r="AA282" s="178"/>
    </row>
    <row r="283" spans="1:27" ht="12.75">
      <c r="A283" s="177"/>
      <c r="B283" s="177"/>
      <c r="C283" s="177"/>
      <c r="D283" s="177"/>
      <c r="E283" s="177"/>
      <c r="F283" s="177"/>
      <c r="G283" s="177"/>
      <c r="H283" s="177"/>
      <c r="I283" s="177"/>
      <c r="J283" s="177"/>
      <c r="K283" s="177"/>
      <c r="L283" s="177"/>
      <c r="M283" s="177"/>
      <c r="N283" s="178"/>
      <c r="O283" s="178"/>
      <c r="P283" s="178"/>
      <c r="Q283" s="178"/>
      <c r="R283" s="178"/>
      <c r="S283" s="178"/>
      <c r="T283" s="178"/>
      <c r="U283" s="178"/>
      <c r="V283" s="178"/>
      <c r="W283" s="178"/>
      <c r="X283" s="178"/>
      <c r="Y283" s="178"/>
      <c r="Z283" s="178"/>
      <c r="AA283" s="178"/>
    </row>
    <row r="284" spans="1:27" ht="12.75">
      <c r="A284" s="177"/>
      <c r="B284" s="177"/>
      <c r="C284" s="177"/>
      <c r="D284" s="177"/>
      <c r="E284" s="177"/>
      <c r="F284" s="177"/>
      <c r="G284" s="177"/>
      <c r="H284" s="177"/>
      <c r="I284" s="177"/>
      <c r="J284" s="177"/>
      <c r="K284" s="177"/>
      <c r="L284" s="177"/>
      <c r="M284" s="177"/>
      <c r="N284" s="178"/>
      <c r="O284" s="178"/>
      <c r="P284" s="178"/>
      <c r="Q284" s="178"/>
      <c r="R284" s="178"/>
      <c r="S284" s="178"/>
      <c r="T284" s="178"/>
      <c r="U284" s="178"/>
      <c r="V284" s="178"/>
      <c r="W284" s="178"/>
      <c r="X284" s="178"/>
      <c r="Y284" s="178"/>
      <c r="Z284" s="178"/>
      <c r="AA284" s="178"/>
    </row>
    <row r="285" spans="1:27" ht="12.75">
      <c r="A285" s="177"/>
      <c r="B285" s="177"/>
      <c r="C285" s="177"/>
      <c r="D285" s="177"/>
      <c r="E285" s="177"/>
      <c r="F285" s="177"/>
      <c r="G285" s="177"/>
      <c r="H285" s="177"/>
      <c r="I285" s="177"/>
      <c r="J285" s="177"/>
      <c r="K285" s="177"/>
      <c r="L285" s="177"/>
      <c r="M285" s="177"/>
      <c r="N285" s="178"/>
      <c r="O285" s="178"/>
      <c r="P285" s="178"/>
      <c r="Q285" s="178"/>
      <c r="R285" s="178"/>
      <c r="S285" s="178"/>
      <c r="T285" s="178"/>
      <c r="U285" s="178"/>
      <c r="V285" s="178"/>
      <c r="W285" s="178"/>
      <c r="X285" s="178"/>
      <c r="Y285" s="178"/>
      <c r="Z285" s="178"/>
      <c r="AA285" s="178"/>
    </row>
    <row r="286" spans="1:27" ht="12.75">
      <c r="A286" s="177"/>
      <c r="B286" s="177"/>
      <c r="C286" s="177"/>
      <c r="D286" s="177"/>
      <c r="E286" s="177"/>
      <c r="F286" s="177"/>
      <c r="G286" s="177"/>
      <c r="H286" s="177"/>
      <c r="I286" s="177"/>
      <c r="J286" s="177"/>
      <c r="K286" s="177"/>
      <c r="L286" s="177"/>
      <c r="M286" s="177"/>
      <c r="N286" s="178"/>
      <c r="O286" s="178"/>
      <c r="P286" s="178"/>
      <c r="Q286" s="178"/>
      <c r="R286" s="178"/>
      <c r="S286" s="178"/>
      <c r="T286" s="178"/>
      <c r="U286" s="178"/>
      <c r="V286" s="178"/>
      <c r="W286" s="178"/>
      <c r="X286" s="178"/>
      <c r="Y286" s="178"/>
      <c r="Z286" s="178"/>
      <c r="AA286" s="178"/>
    </row>
    <row r="287" spans="1:27" ht="12.75">
      <c r="A287" s="177"/>
      <c r="B287" s="177"/>
      <c r="C287" s="177"/>
      <c r="D287" s="177"/>
      <c r="E287" s="177"/>
      <c r="F287" s="177"/>
      <c r="G287" s="177"/>
      <c r="H287" s="177"/>
      <c r="I287" s="177"/>
      <c r="J287" s="177"/>
      <c r="K287" s="177"/>
      <c r="L287" s="177"/>
      <c r="M287" s="177"/>
      <c r="N287" s="178"/>
      <c r="O287" s="178"/>
      <c r="P287" s="178"/>
      <c r="Q287" s="178"/>
      <c r="R287" s="178"/>
      <c r="S287" s="178"/>
      <c r="T287" s="178"/>
      <c r="U287" s="178"/>
      <c r="V287" s="178"/>
      <c r="W287" s="178"/>
      <c r="X287" s="178"/>
      <c r="Y287" s="178"/>
      <c r="Z287" s="178"/>
      <c r="AA287" s="178"/>
    </row>
    <row r="288" spans="1:27" ht="12.75">
      <c r="A288" s="177"/>
      <c r="B288" s="177"/>
      <c r="C288" s="177"/>
      <c r="D288" s="177"/>
      <c r="E288" s="177"/>
      <c r="F288" s="177"/>
      <c r="G288" s="177"/>
      <c r="H288" s="177"/>
      <c r="I288" s="177"/>
      <c r="J288" s="177"/>
      <c r="K288" s="177"/>
      <c r="L288" s="177"/>
      <c r="M288" s="177"/>
      <c r="N288" s="178"/>
      <c r="O288" s="178"/>
      <c r="P288" s="178"/>
      <c r="Q288" s="178"/>
      <c r="R288" s="178"/>
      <c r="S288" s="178"/>
      <c r="T288" s="178"/>
      <c r="U288" s="178"/>
      <c r="V288" s="178"/>
      <c r="W288" s="178"/>
      <c r="X288" s="178"/>
      <c r="Y288" s="178"/>
      <c r="Z288" s="178"/>
      <c r="AA288" s="178"/>
    </row>
    <row r="289" spans="1:27" ht="12.75">
      <c r="A289" s="177"/>
      <c r="B289" s="177"/>
      <c r="C289" s="177"/>
      <c r="D289" s="177"/>
      <c r="E289" s="177"/>
      <c r="F289" s="177"/>
      <c r="G289" s="177"/>
      <c r="H289" s="177"/>
      <c r="I289" s="177"/>
      <c r="J289" s="177"/>
      <c r="K289" s="177"/>
      <c r="L289" s="177"/>
      <c r="M289" s="177"/>
      <c r="N289" s="178"/>
      <c r="O289" s="178"/>
      <c r="P289" s="178"/>
      <c r="Q289" s="178"/>
      <c r="R289" s="178"/>
      <c r="S289" s="178"/>
      <c r="T289" s="178"/>
      <c r="U289" s="178"/>
      <c r="V289" s="178"/>
      <c r="W289" s="178"/>
      <c r="X289" s="178"/>
      <c r="Y289" s="178"/>
      <c r="Z289" s="178"/>
      <c r="AA289" s="178"/>
    </row>
    <row r="290" spans="1:27" ht="12.75">
      <c r="A290" s="177"/>
      <c r="B290" s="177"/>
      <c r="C290" s="177"/>
      <c r="D290" s="177"/>
      <c r="E290" s="177"/>
      <c r="F290" s="177"/>
      <c r="G290" s="177"/>
      <c r="H290" s="177"/>
      <c r="I290" s="177"/>
      <c r="J290" s="177"/>
      <c r="K290" s="177"/>
      <c r="L290" s="177"/>
      <c r="M290" s="177"/>
      <c r="N290" s="178"/>
      <c r="O290" s="178"/>
      <c r="P290" s="178"/>
      <c r="Q290" s="178"/>
      <c r="R290" s="178"/>
      <c r="S290" s="178"/>
      <c r="T290" s="178"/>
      <c r="U290" s="178"/>
      <c r="V290" s="178"/>
      <c r="W290" s="178"/>
      <c r="X290" s="178"/>
      <c r="Y290" s="178"/>
      <c r="Z290" s="178"/>
      <c r="AA290" s="178"/>
    </row>
    <row r="291" spans="1:16" ht="12.75">
      <c r="A291" s="177"/>
      <c r="B291" s="177"/>
      <c r="C291" s="177"/>
      <c r="D291" s="177"/>
      <c r="E291" s="177"/>
      <c r="F291" s="177"/>
      <c r="G291" s="177"/>
      <c r="H291" s="177"/>
      <c r="I291" s="177"/>
      <c r="J291" s="177"/>
      <c r="K291" s="177"/>
      <c r="L291" s="177"/>
      <c r="M291" s="177"/>
      <c r="N291" s="178"/>
      <c r="O291" s="178"/>
      <c r="P291" s="178"/>
    </row>
    <row r="292" spans="1:16" ht="12.75">
      <c r="A292" s="177"/>
      <c r="B292" s="177"/>
      <c r="C292" s="177"/>
      <c r="D292" s="177"/>
      <c r="E292" s="177"/>
      <c r="F292" s="177"/>
      <c r="G292" s="177"/>
      <c r="H292" s="177"/>
      <c r="I292" s="177"/>
      <c r="J292" s="177"/>
      <c r="K292" s="177"/>
      <c r="L292" s="177"/>
      <c r="M292" s="177"/>
      <c r="N292" s="178"/>
      <c r="O292" s="178"/>
      <c r="P292" s="178"/>
    </row>
    <row r="293" spans="1:16" ht="12.75">
      <c r="A293" s="177"/>
      <c r="B293" s="177"/>
      <c r="C293" s="177"/>
      <c r="D293" s="177"/>
      <c r="E293" s="177"/>
      <c r="F293" s="177"/>
      <c r="G293" s="177"/>
      <c r="H293" s="177"/>
      <c r="I293" s="177"/>
      <c r="J293" s="177"/>
      <c r="K293" s="177"/>
      <c r="L293" s="177"/>
      <c r="M293" s="177"/>
      <c r="N293" s="178"/>
      <c r="O293" s="178"/>
      <c r="P293" s="178"/>
    </row>
    <row r="294" spans="1:16" ht="12.75">
      <c r="A294" s="177"/>
      <c r="B294" s="177"/>
      <c r="C294" s="177"/>
      <c r="D294" s="177"/>
      <c r="E294" s="177"/>
      <c r="F294" s="177"/>
      <c r="G294" s="177"/>
      <c r="H294" s="177"/>
      <c r="I294" s="177"/>
      <c r="J294" s="177"/>
      <c r="K294" s="177"/>
      <c r="L294" s="177"/>
      <c r="M294" s="177"/>
      <c r="N294" s="178"/>
      <c r="O294" s="178"/>
      <c r="P294" s="178"/>
    </row>
    <row r="295" spans="1:16" ht="12.75">
      <c r="A295" s="177"/>
      <c r="B295" s="177"/>
      <c r="C295" s="177"/>
      <c r="D295" s="177"/>
      <c r="E295" s="177"/>
      <c r="F295" s="177"/>
      <c r="G295" s="177"/>
      <c r="H295" s="177"/>
      <c r="I295" s="177"/>
      <c r="J295" s="177"/>
      <c r="K295" s="177"/>
      <c r="L295" s="177"/>
      <c r="M295" s="177"/>
      <c r="N295" s="178"/>
      <c r="O295" s="178"/>
      <c r="P295" s="178"/>
    </row>
  </sheetData>
  <sheetProtection/>
  <mergeCells count="26">
    <mergeCell ref="A9:P9"/>
    <mergeCell ref="A10:P10"/>
    <mergeCell ref="A11:A13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K11:K13"/>
    <mergeCell ref="L11:L12"/>
    <mergeCell ref="M11:M12"/>
    <mergeCell ref="N11:N13"/>
    <mergeCell ref="O11:P12"/>
    <mergeCell ref="Q11:W11"/>
    <mergeCell ref="X11:X13"/>
    <mergeCell ref="Y11:Y13"/>
    <mergeCell ref="Z11:Z13"/>
    <mergeCell ref="AA11:AB12"/>
    <mergeCell ref="Q12:R12"/>
    <mergeCell ref="S12:T12"/>
    <mergeCell ref="V12:V13"/>
    <mergeCell ref="W12:W13"/>
  </mergeCells>
  <printOptions/>
  <pageMargins left="0.5905511811023623" right="0.1968503937007874" top="0.1968503937007874" bottom="0.1968503937007874" header="0.31496062992125984" footer="0.31496062992125984"/>
  <pageSetup horizontalDpi="600" verticalDpi="600" orientation="landscape" paperSize="9" scale="61" r:id="rId3"/>
  <colBreaks count="1" manualBreakCount="1">
    <brk id="28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ПТУ-39</dc:creator>
  <cp:keywords/>
  <dc:description/>
  <cp:lastModifiedBy>PTO2015</cp:lastModifiedBy>
  <cp:lastPrinted>2016-03-09T12:45:59Z</cp:lastPrinted>
  <dcterms:created xsi:type="dcterms:W3CDTF">2000-10-26T08:43:03Z</dcterms:created>
  <dcterms:modified xsi:type="dcterms:W3CDTF">2016-03-31T03:54:15Z</dcterms:modified>
  <cp:category/>
  <cp:version/>
  <cp:contentType/>
  <cp:contentStatus/>
</cp:coreProperties>
</file>