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200" tabRatio="785" activeTab="0"/>
  </bookViews>
  <sheets>
    <sheet name="181 дом на 01.01.2017г." sheetId="1" r:id="rId1"/>
  </sheets>
  <definedNames>
    <definedName name="_xlnm.Print_Area" localSheetId="0">'181 дом на 01.01.2017г.'!$A$1:$AB$232</definedName>
    <definedName name="_xlnm.Print_Titles" localSheetId="0">'181 дом на 01.01.2017г.'!$6:$9</definedName>
  </definedNames>
  <calcPr fullCalcOnLoad="1"/>
</workbook>
</file>

<file path=xl/comments1.xml><?xml version="1.0" encoding="utf-8"?>
<comments xmlns="http://schemas.openxmlformats.org/spreadsheetml/2006/main">
  <authors>
    <author>User</author>
    <author>Pto12</author>
    <author>Pto111</author>
  </authors>
  <commentList>
    <comment ref="O11" authorId="0">
      <text>
        <r>
          <rPr>
            <sz val="9"/>
            <rFont val="Arial"/>
            <family val="0"/>
          </rPr>
          <t>User:
приб.(коррект.),кв.80- 0,40 м2; апрель2010;</t>
        </r>
      </text>
    </comment>
    <comment ref="P11" authorId="0">
      <text>
        <r>
          <rPr>
            <sz val="9"/>
            <rFont val="Arial"/>
            <family val="0"/>
          </rPr>
          <t>User:
приб.(коррект.),кв.80- 0,40 м2; апрель2010;</t>
        </r>
      </text>
    </comment>
    <comment ref="O12" authorId="0">
      <text>
        <r>
          <rPr>
            <sz val="9"/>
            <rFont val="Arial"/>
            <family val="0"/>
          </rPr>
          <t xml:space="preserve">User:
Как у Пимоненковой
</t>
        </r>
      </text>
    </comment>
    <comment ref="O14" authorId="0">
      <text>
        <r>
          <rPr>
            <sz val="9"/>
            <rFont val="Arial"/>
            <family val="0"/>
          </rPr>
          <t>User:
Как у Пимоненковой
приб.(коррект.),кв.108- 1,20 м2; октябрь2009;</t>
        </r>
      </text>
    </comment>
    <comment ref="P14" authorId="0">
      <text>
        <r>
          <rPr>
            <sz val="9"/>
            <rFont val="Arial"/>
            <family val="0"/>
          </rPr>
          <t>User:
приб.(коррект.),кв.108- 0,20 м2; октябрь2009;</t>
        </r>
      </text>
    </comment>
    <comment ref="O15" authorId="0">
      <text>
        <r>
          <rPr>
            <sz val="9"/>
            <rFont val="Arial"/>
            <family val="0"/>
          </rPr>
          <t xml:space="preserve">User:
Как у Пимоненковой
</t>
        </r>
      </text>
    </comment>
    <comment ref="O16" authorId="0">
      <text>
        <r>
          <rPr>
            <sz val="9"/>
            <rFont val="Arial"/>
            <family val="0"/>
          </rPr>
          <t xml:space="preserve">User:
Как у Пимоненковой
</t>
        </r>
      </text>
    </comment>
    <comment ref="O19" authorId="0">
      <text>
        <r>
          <rPr>
            <sz val="9"/>
            <rFont val="Arial"/>
            <family val="0"/>
          </rPr>
          <t xml:space="preserve">User:
Как у Пимоненковой
</t>
        </r>
      </text>
    </comment>
    <comment ref="O20" authorId="0">
      <text>
        <r>
          <rPr>
            <sz val="9"/>
            <rFont val="Arial"/>
            <family val="0"/>
          </rPr>
          <t xml:space="preserve">User:
Как у Пимоненковой
</t>
        </r>
      </text>
    </comment>
    <comment ref="O21" authorId="0">
      <text>
        <r>
          <rPr>
            <sz val="9"/>
            <rFont val="Arial"/>
            <family val="0"/>
          </rPr>
          <t xml:space="preserve">User:
Как у Пимоненковой
</t>
        </r>
      </text>
    </comment>
    <comment ref="O24" authorId="0">
      <text>
        <r>
          <rPr>
            <sz val="9"/>
            <rFont val="Arial"/>
            <family val="0"/>
          </rPr>
          <t xml:space="preserve">User:
Как у пимоненковой
</t>
        </r>
      </text>
    </comment>
    <comment ref="O25" authorId="0">
      <text>
        <r>
          <rPr>
            <sz val="9"/>
            <rFont val="Arial"/>
            <family val="0"/>
          </rPr>
          <t xml:space="preserve">User:
Как у Пимоненковой
</t>
        </r>
      </text>
    </comment>
    <comment ref="O26" authorId="0">
      <text>
        <r>
          <rPr>
            <sz val="9"/>
            <rFont val="Arial"/>
            <family val="0"/>
          </rPr>
          <t xml:space="preserve">User:
Как у Пимоненковой
</t>
        </r>
      </text>
    </comment>
    <comment ref="O28" authorId="0">
      <text>
        <r>
          <rPr>
            <sz val="9"/>
            <rFont val="Arial"/>
            <family val="0"/>
          </rPr>
          <t>User:
Идет с тех.паспортом.
убыт.(коррект.),кв.14- 1,40 м2; октябрь2009;</t>
        </r>
      </text>
    </comment>
    <comment ref="P28" authorId="0">
      <text>
        <r>
          <rPr>
            <sz val="9"/>
            <rFont val="Arial"/>
            <family val="0"/>
          </rPr>
          <t>User:
убыт.(коррект.),кв.14- 1,40 м2; октябрь2009;</t>
        </r>
      </text>
    </comment>
    <comment ref="O31" authorId="0">
      <text>
        <r>
          <rPr>
            <sz val="9"/>
            <rFont val="Arial"/>
            <family val="0"/>
          </rPr>
          <t>User:
убыт.(коррект.),кв.6- 1,30м2; январь2010г</t>
        </r>
      </text>
    </comment>
    <comment ref="P31" authorId="0">
      <text>
        <r>
          <rPr>
            <sz val="9"/>
            <rFont val="Arial"/>
            <family val="0"/>
          </rPr>
          <t>User:
убыт.(коррект.),кв.6- 0,80м2; январь2010г;</t>
        </r>
      </text>
    </comment>
    <comment ref="O53" authorId="0">
      <text>
        <r>
          <rPr>
            <sz val="9"/>
            <rFont val="Arial"/>
            <family val="0"/>
          </rPr>
          <t>User:
убыт.(коррект.),кв.3- 0,90 м2; декабрь2009;</t>
        </r>
      </text>
    </comment>
    <comment ref="P53" authorId="0">
      <text>
        <r>
          <rPr>
            <sz val="9"/>
            <rFont val="Arial"/>
            <family val="0"/>
          </rPr>
          <t>User:
убыт.(коррект.),кв.3- 0,40 м2; декабрь2009;</t>
        </r>
      </text>
    </comment>
    <comment ref="O66" authorId="0">
      <text>
        <r>
          <rPr>
            <sz val="9"/>
            <rFont val="Arial"/>
            <family val="0"/>
          </rPr>
          <t>User:
Как у Пимоненковой
убыт.(коррект.),кв.21- 1,10 м2; декабрь2009;</t>
        </r>
      </text>
    </comment>
    <comment ref="P66" authorId="0">
      <text>
        <r>
          <rPr>
            <sz val="9"/>
            <rFont val="Arial"/>
            <family val="0"/>
          </rPr>
          <t>User:
убыт.(коррект.),кв.21- 0,60 м2; декабрь2009;</t>
        </r>
      </text>
    </comment>
    <comment ref="O67" authorId="0">
      <text>
        <r>
          <rPr>
            <sz val="9"/>
            <rFont val="Arial"/>
            <family val="0"/>
          </rPr>
          <t>User:
убыт.(коррект.),кв.15- 1,40м2; январь2010г.</t>
        </r>
      </text>
    </comment>
    <comment ref="P67" authorId="0">
      <text>
        <r>
          <rPr>
            <sz val="9"/>
            <rFont val="Arial"/>
            <family val="0"/>
          </rPr>
          <t>User:
убыт.(коррект.),кв.15- 2,00м2; январь2010г.</t>
        </r>
      </text>
    </comment>
    <comment ref="O79" authorId="0">
      <text>
        <r>
          <rPr>
            <sz val="9"/>
            <rFont val="Arial"/>
            <family val="0"/>
          </rPr>
          <t>User:
Как у Пимоненковой
Вывод из аренды кв.28- 52,8(октябрь),в декабре2009г.</t>
        </r>
      </text>
    </comment>
    <comment ref="O85" authorId="0">
      <text>
        <r>
          <rPr>
            <sz val="9"/>
            <rFont val="Arial"/>
            <family val="0"/>
          </rPr>
          <t>User:
убыт.(коррект.),кв.13- 3,10 м2; октябрь2009;</t>
        </r>
      </text>
    </comment>
    <comment ref="P85" authorId="0">
      <text>
        <r>
          <rPr>
            <sz val="9"/>
            <rFont val="Arial"/>
            <family val="0"/>
          </rPr>
          <t>User:
убыт.(коррект.),кв.13- 0,90 м2; октябрь2009;</t>
        </r>
      </text>
    </comment>
    <comment ref="O86" authorId="0">
      <text>
        <r>
          <rPr>
            <sz val="9"/>
            <rFont val="Arial"/>
            <family val="0"/>
          </rPr>
          <t>User:
Как у Пимоненковой
убыт.(коррект.),кв.1- 2,10 м2; октябрь2009;
убыт.(коррект.),кв.5- 0,70 м2; апрель2010;</t>
        </r>
      </text>
    </comment>
    <comment ref="P86" authorId="0">
      <text>
        <r>
          <rPr>
            <sz val="9"/>
            <rFont val="Arial"/>
            <family val="0"/>
          </rPr>
          <t>User:
убыт.(коррект.),кв.1- 1,50 м2; октябрь2009;
убыт.(коррект.),кв.5- 0,30 м2; апрель2010;</t>
        </r>
      </text>
    </comment>
    <comment ref="O87" authorId="0">
      <text>
        <r>
          <rPr>
            <sz val="9"/>
            <rFont val="Arial"/>
            <family val="0"/>
          </rPr>
          <t>User:
Как у Пимоненковой</t>
        </r>
      </text>
    </comment>
    <comment ref="O88" authorId="0">
      <text>
        <r>
          <rPr>
            <sz val="9"/>
            <rFont val="Arial"/>
            <family val="0"/>
          </rPr>
          <t>User:
Как у Пимоненковой</t>
        </r>
      </text>
    </comment>
    <comment ref="O90" authorId="0">
      <text>
        <r>
          <rPr>
            <sz val="9"/>
            <rFont val="Arial"/>
            <family val="0"/>
          </rPr>
          <t>User:
Как у Пимоненковой</t>
        </r>
      </text>
    </comment>
    <comment ref="O91" authorId="0">
      <text>
        <r>
          <rPr>
            <sz val="9"/>
            <rFont val="Arial"/>
            <family val="0"/>
          </rPr>
          <t>User:
кв.11 ушла в ООО"НГК"-52,7 м2.
приб.(коррект.),кв.50- 0,70м2; октябрь2009;
убыт.(коррект.),кв.3- 3,30м2; октябрь2009;</t>
        </r>
      </text>
    </comment>
    <comment ref="P91" authorId="0">
      <text>
        <r>
          <rPr>
            <sz val="9"/>
            <rFont val="Arial"/>
            <family val="0"/>
          </rPr>
          <t>User:
кв.11 ушла в ООО"НГК"-11,3 м2.
коррект.,кв.50- 0,30м2; октябрь2009;</t>
        </r>
      </text>
    </comment>
    <comment ref="O94" authorId="0">
      <text>
        <r>
          <rPr>
            <sz val="9"/>
            <rFont val="Arial"/>
            <family val="0"/>
          </rPr>
          <t>User:
Как у Пимоненковой</t>
        </r>
      </text>
    </comment>
    <comment ref="O95" authorId="0">
      <text>
        <r>
          <rPr>
            <sz val="9"/>
            <rFont val="Arial"/>
            <family val="0"/>
          </rPr>
          <t>User:
Как у Пимоненковой
убыт.(коррект.),кв.48- 5,20 м2; ноябрь2009;</t>
        </r>
      </text>
    </comment>
    <comment ref="O96" authorId="0">
      <text>
        <r>
          <rPr>
            <sz val="9"/>
            <rFont val="Arial"/>
            <family val="0"/>
          </rPr>
          <t>User:
убыт.(коррект.),кв.36- 2,10м2; январь2010;</t>
        </r>
      </text>
    </comment>
    <comment ref="O97" authorId="0">
      <text>
        <r>
          <rPr>
            <sz val="9"/>
            <rFont val="Arial"/>
            <family val="0"/>
          </rPr>
          <t>User:
убыт.(коррект.),кв.10- 0,90м2; октябрь2009;</t>
        </r>
      </text>
    </comment>
    <comment ref="P97" authorId="0">
      <text>
        <r>
          <rPr>
            <sz val="9"/>
            <rFont val="Arial"/>
            <family val="0"/>
          </rPr>
          <t>User:
убыт.(коррект.),кв.10- 0,60м2; октябрь2009;</t>
        </r>
      </text>
    </comment>
    <comment ref="O101" authorId="0">
      <text>
        <r>
          <rPr>
            <sz val="9"/>
            <rFont val="Arial"/>
            <family val="0"/>
          </rPr>
          <t>User:
кв.№28 (94,2м2) откр. л/сч в отчете договорников НЖСК 416,9 м2
кв.№29(49,1м2)-вывод из аренды,откр.л/с.
Кв.№26(95,2м2)-вывод из аренды,откр.л/с 15.07.09г.
КВ.№27(47,7м2)-вывод из аренды в 2005г.,не убрана ОУЖФ.</t>
        </r>
      </text>
    </comment>
    <comment ref="P101" authorId="0">
      <text>
        <r>
          <rPr>
            <sz val="9"/>
            <rFont val="Arial"/>
            <family val="0"/>
          </rPr>
          <t>User:
кв№29(жилая21,4м2)-вывод из аренды,откр.л/с.
Кв.№26(жилая51,4м2)-вывод из аренды 15.07.09г.
Кв.№27(жилая21,4м2)-вывод из аренды в 2005г.Не убрана ОУЖФ.</t>
        </r>
      </text>
    </comment>
    <comment ref="Q101" authorId="0">
      <text>
        <r>
          <rPr>
            <sz val="9"/>
            <rFont val="Arial"/>
            <family val="0"/>
          </rPr>
          <t xml:space="preserve">User:
кв.№28 (94,2м2) откр. л/сч в отчете договорников НЖСК 416,9 м2
кв.№29(49,1м2)-вывод из аренды,откр.л/с.
Кв.№26(95,2м2)-вывод из аренды,откр.л/с 15.07.09г.
КВ.№27(47,7м2)-вывод из аренды в 2005г.,не убрана ОУЖФ.
</t>
        </r>
      </text>
    </comment>
    <comment ref="R101" authorId="0">
      <text>
        <r>
          <rPr>
            <sz val="9"/>
            <rFont val="Arial"/>
            <family val="0"/>
          </rPr>
          <t>User:
кв№29(жилая21,4м2)-вывод из аренды,откр.л/с.
Кв.№26(жилая51,4м2)-вывод из аренды 15.07.09г.
Кв.№27(жилая21,4м2)-вывод из аренды в 2005г.Не убрана ОУЖФ.</t>
        </r>
      </text>
    </comment>
    <comment ref="D103" authorId="0">
      <text>
        <r>
          <rPr>
            <sz val="9"/>
            <rFont val="Arial"/>
            <family val="0"/>
          </rPr>
          <t>User:
был УТЖС 70 /распоряж.админ./</t>
        </r>
      </text>
    </comment>
    <comment ref="N115" authorId="0">
      <text>
        <r>
          <rPr>
            <sz val="9"/>
            <rFont val="Arial"/>
            <family val="0"/>
          </rPr>
          <t xml:space="preserve">User:
Убрано 108,2(СКБпер.)
</t>
        </r>
      </text>
    </comment>
    <comment ref="O115" authorId="0">
      <text>
        <r>
          <rPr>
            <sz val="9"/>
            <rFont val="Arial"/>
            <family val="0"/>
          </rPr>
          <t>User:
убыт.(коррект.),кв.74- 0,70 м2; декабрь2009;</t>
        </r>
      </text>
    </comment>
    <comment ref="O118" authorId="0">
      <text>
        <r>
          <rPr>
            <sz val="9"/>
            <rFont val="Arial"/>
            <family val="0"/>
          </rPr>
          <t>User:
убыт.(коррект.),кв.908- 1,10м2; октябрь2009;</t>
        </r>
      </text>
    </comment>
    <comment ref="P118" authorId="0">
      <text>
        <r>
          <rPr>
            <sz val="9"/>
            <rFont val="Arial"/>
            <family val="0"/>
          </rPr>
          <t>User:
убыт.(коррект.),кв.908- 1,10м2; октябрь2009;</t>
        </r>
      </text>
    </comment>
    <comment ref="S118" authorId="1">
      <text>
        <r>
          <rPr>
            <sz val="9"/>
            <rFont val="Arial"/>
            <family val="0"/>
          </rPr>
          <t xml:space="preserve">Pto12:
</t>
        </r>
      </text>
    </comment>
    <comment ref="O122" authorId="0">
      <text>
        <r>
          <rPr>
            <sz val="9"/>
            <rFont val="Arial"/>
            <family val="0"/>
          </rPr>
          <t>User:
убыт.(коррект.),кв.4- 0,90м2; октябрь2009;
убыт.(коррект.),кв.105- 0,20м2; апрель2010г;</t>
        </r>
      </text>
    </comment>
    <comment ref="P122" authorId="0">
      <text>
        <r>
          <rPr>
            <sz val="9"/>
            <rFont val="Arial"/>
            <family val="0"/>
          </rPr>
          <t>User:
убыт.(коррект.),кв.4- 0,40м2; октябрь2009;
убыт.(коррект.),кв.105- 0,20м2; апрель2010г;</t>
        </r>
      </text>
    </comment>
    <comment ref="O126" authorId="0">
      <text>
        <r>
          <rPr>
            <sz val="9"/>
            <rFont val="Arial"/>
            <family val="0"/>
          </rPr>
          <t>User:
Гостиница кв.31,СБК</t>
        </r>
      </text>
    </comment>
    <comment ref="P126" authorId="0">
      <text>
        <r>
          <rPr>
            <sz val="9"/>
            <rFont val="Arial"/>
            <family val="0"/>
          </rPr>
          <t>User:
Гостиница кв.31,СБК</t>
        </r>
      </text>
    </comment>
    <comment ref="Q126" authorId="0">
      <text>
        <r>
          <rPr>
            <sz val="9"/>
            <rFont val="Arial"/>
            <family val="0"/>
          </rPr>
          <t>User:
Гостиница кв.31,СБК</t>
        </r>
      </text>
    </comment>
    <comment ref="R126" authorId="0">
      <text>
        <r>
          <rPr>
            <sz val="9"/>
            <rFont val="Arial"/>
            <family val="0"/>
          </rPr>
          <t>User:
Гостиница кв.31,СБК</t>
        </r>
      </text>
    </comment>
    <comment ref="O128" authorId="0">
      <text>
        <r>
          <rPr>
            <sz val="9"/>
            <rFont val="Arial"/>
            <family val="0"/>
          </rPr>
          <t>User:
Как у Пимоненковой</t>
        </r>
      </text>
    </comment>
    <comment ref="O131" authorId="0">
      <text>
        <r>
          <rPr>
            <sz val="9"/>
            <rFont val="Arial"/>
            <family val="0"/>
          </rPr>
          <t>User:
Как у Пимоненковой</t>
        </r>
      </text>
    </comment>
    <comment ref="O132" authorId="0">
      <text>
        <r>
          <rPr>
            <sz val="9"/>
            <rFont val="Arial"/>
            <family val="0"/>
          </rPr>
          <t>User:
убыт.(коррект.),кв.29- 3,60м2; октябрь2009;</t>
        </r>
      </text>
    </comment>
    <comment ref="P132" authorId="0">
      <text>
        <r>
          <rPr>
            <sz val="9"/>
            <rFont val="Arial"/>
            <family val="0"/>
          </rPr>
          <t>User:
убыт.(коррект.),кв.29- 3,70м2; октябрь2009;</t>
        </r>
      </text>
    </comment>
    <comment ref="O135" authorId="0">
      <text>
        <r>
          <rPr>
            <sz val="9"/>
            <rFont val="Arial"/>
            <family val="0"/>
          </rPr>
          <t>User:
убыт.(коррект.),кв.47- 7,20м2; октябрь2009;</t>
        </r>
      </text>
    </comment>
    <comment ref="P135" authorId="0">
      <text>
        <r>
          <rPr>
            <sz val="9"/>
            <rFont val="Arial"/>
            <family val="0"/>
          </rPr>
          <t>User:
убыт.(коррект.),кв.47- 3,80м2; октябрь2009;</t>
        </r>
      </text>
    </comment>
    <comment ref="S135" authorId="1">
      <text>
        <r>
          <rPr>
            <sz val="9"/>
            <rFont val="Arial"/>
            <family val="0"/>
          </rPr>
          <t>Pto12:
кв.42 скб</t>
        </r>
      </text>
    </comment>
    <comment ref="O138" authorId="0">
      <text>
        <r>
          <rPr>
            <sz val="9"/>
            <rFont val="Arial"/>
            <family val="0"/>
          </rPr>
          <t>User:
Вывод в СКБ,кв.78 /40,1м2/
Вывод в СКБ,кв.77 /48,2м2/</t>
        </r>
      </text>
    </comment>
    <comment ref="P138" authorId="0">
      <text>
        <r>
          <rPr>
            <sz val="9"/>
            <rFont val="Arial"/>
            <family val="0"/>
          </rPr>
          <t>User:
Вывод в СКБ,кв.78 /17,7м2/
Вывод в СКБ,кв.77 /29,2м2/</t>
        </r>
      </text>
    </comment>
    <comment ref="O139" authorId="0">
      <text>
        <r>
          <rPr>
            <sz val="9"/>
            <rFont val="Arial"/>
            <family val="0"/>
          </rPr>
          <t>User:
Как у Пимоненковой</t>
        </r>
      </text>
    </comment>
    <comment ref="U139" authorId="2">
      <text>
        <r>
          <rPr>
            <sz val="9"/>
            <rFont val="Arial"/>
            <family val="0"/>
          </rPr>
          <t>Pto111:
пож.выход ИП Дадашов соглаш о присоединении</t>
        </r>
      </text>
    </comment>
    <comment ref="O140" authorId="0">
      <text>
        <r>
          <rPr>
            <sz val="9"/>
            <rFont val="Arial"/>
            <family val="0"/>
          </rPr>
          <t>User:
Как у Пимоненковой</t>
        </r>
      </text>
    </comment>
    <comment ref="O142" authorId="0">
      <text>
        <r>
          <rPr>
            <sz val="9"/>
            <rFont val="Arial"/>
            <family val="0"/>
          </rPr>
          <t>User:
убыт.(коррект.),кв.33- 5,10м2; апрель2010г;</t>
        </r>
      </text>
    </comment>
    <comment ref="P142" authorId="0">
      <text>
        <r>
          <rPr>
            <sz val="9"/>
            <rFont val="Arial"/>
            <family val="0"/>
          </rPr>
          <t>User:
приб.(коррект.),кв.33- 1,00м2; апрель2010г;</t>
        </r>
      </text>
    </comment>
    <comment ref="O144" authorId="0">
      <text>
        <r>
          <rPr>
            <sz val="9"/>
            <rFont val="Arial"/>
            <family val="0"/>
          </rPr>
          <t xml:space="preserve">User:
убыт.(коррект.),кв.66- 1,10м2; январь2010г;
убыт.(коррект.),кв.62- 0,70м2; апрель2010г;
</t>
        </r>
      </text>
    </comment>
    <comment ref="P144" authorId="0">
      <text>
        <r>
          <rPr>
            <sz val="9"/>
            <rFont val="Arial"/>
            <family val="0"/>
          </rPr>
          <t>User:
убыт.(коррект.),кв.6- 0,50м2; январь2010г;
убыт.(коррект.),кв.62- 0,20м2; апрель2010г;</t>
        </r>
      </text>
    </comment>
    <comment ref="O146" authorId="0">
      <text>
        <r>
          <rPr>
            <sz val="9"/>
            <rFont val="Arial"/>
            <family val="0"/>
          </rPr>
          <t>User:
убыт.(коррект.),кв.15- 1,60м2; октябрь2009;</t>
        </r>
      </text>
    </comment>
    <comment ref="S153" authorId="1">
      <text>
        <r>
          <rPr>
            <sz val="9"/>
            <rFont val="Arial"/>
            <family val="0"/>
          </rPr>
          <t>Pto12:
Кедр</t>
        </r>
      </text>
    </comment>
    <comment ref="O154" authorId="0">
      <text>
        <r>
          <rPr>
            <sz val="9"/>
            <rFont val="Arial"/>
            <family val="0"/>
          </rPr>
          <t>User:
приб.(коррект.),кв.12- 0,40 м2; ноябрь2009;</t>
        </r>
      </text>
    </comment>
    <comment ref="P154" authorId="0">
      <text>
        <r>
          <rPr>
            <sz val="9"/>
            <rFont val="Arial"/>
            <family val="0"/>
          </rPr>
          <t>User:
приб.(коррект.),кв.12- 4,00 м2; ноябрь2009;</t>
        </r>
      </text>
    </comment>
    <comment ref="O155" authorId="0">
      <text>
        <r>
          <rPr>
            <sz val="9"/>
            <rFont val="Arial"/>
            <family val="0"/>
          </rPr>
          <t>User:
убыт.(коррект.),кв.28- 0,70м2; октябрь2009;</t>
        </r>
      </text>
    </comment>
    <comment ref="P155" authorId="0">
      <text>
        <r>
          <rPr>
            <sz val="9"/>
            <rFont val="Arial"/>
            <family val="0"/>
          </rPr>
          <t>User:
убыт.(коррект.),кв.28- 0,70м2; октябрь2009;</t>
        </r>
      </text>
    </comment>
    <comment ref="O156" authorId="0">
      <text>
        <r>
          <rPr>
            <sz val="9"/>
            <rFont val="Arial"/>
            <family val="0"/>
          </rPr>
          <t>User:
приб.(коррект.),кв.9- 2,0 м2; октябрь2009;
убыт.(коррект.),кв.3- 1,20м2; октябрь2009;</t>
        </r>
      </text>
    </comment>
    <comment ref="P156" authorId="0">
      <text>
        <r>
          <rPr>
            <sz val="9"/>
            <rFont val="Arial"/>
            <family val="0"/>
          </rPr>
          <t>User:
приб.(коррект.),кв.9- 2,1 м2; октябрь2009;
убыт.(коррект.),кв.3- 7,4м2; октябрь2009;</t>
        </r>
      </text>
    </comment>
    <comment ref="Q156" authorId="1">
      <text>
        <r>
          <rPr>
            <sz val="9"/>
            <rFont val="Arial"/>
            <family val="0"/>
          </rPr>
          <t xml:space="preserve">Pto12:
кв.84 </t>
        </r>
      </text>
    </comment>
    <comment ref="S156" authorId="1">
      <text>
        <r>
          <rPr>
            <sz val="9"/>
            <rFont val="Arial"/>
            <family val="0"/>
          </rPr>
          <t xml:space="preserve">Pto12:
33
</t>
        </r>
      </text>
    </comment>
    <comment ref="U156" authorId="1">
      <text>
        <r>
          <rPr>
            <sz val="9"/>
            <rFont val="Arial"/>
            <family val="0"/>
          </rPr>
          <t>Pto12:
кв.92,93 и пожарный выход кв.33</t>
        </r>
      </text>
    </comment>
    <comment ref="S167" authorId="1">
      <text>
        <r>
          <rPr>
            <sz val="9"/>
            <rFont val="Arial"/>
            <family val="0"/>
          </rPr>
          <t xml:space="preserve">Pto12:
105,9+193,8
</t>
        </r>
      </text>
    </comment>
    <comment ref="O168" authorId="0">
      <text>
        <r>
          <rPr>
            <sz val="9"/>
            <rFont val="Arial"/>
            <family val="0"/>
          </rPr>
          <t>User:
убыт.(коррект.),кв.403- 0,40м2; октябрь2009;</t>
        </r>
      </text>
    </comment>
    <comment ref="P168" authorId="0">
      <text>
        <r>
          <rPr>
            <sz val="9"/>
            <rFont val="Arial"/>
            <family val="0"/>
          </rPr>
          <t>User:
убыт.(коррект.),кв.403- 0,50м2; октябрь2009;</t>
        </r>
      </text>
    </comment>
    <comment ref="O175" authorId="0">
      <text>
        <r>
          <rPr>
            <sz val="9"/>
            <rFont val="Arial"/>
            <family val="0"/>
          </rPr>
          <t>User:
убыт.(коррект.),кв.41- 0,30м2; октябрь2009;</t>
        </r>
      </text>
    </comment>
    <comment ref="P175" authorId="0">
      <text>
        <r>
          <rPr>
            <sz val="9"/>
            <rFont val="Arial"/>
            <family val="0"/>
          </rPr>
          <t>User:
убыт.(коррект.),кв.41- 0,30м2; октябрь2009;</t>
        </r>
      </text>
    </comment>
    <comment ref="O178" authorId="0">
      <text>
        <r>
          <rPr>
            <sz val="9"/>
            <rFont val="Arial"/>
            <family val="0"/>
          </rPr>
          <t>User:
убыт.(коррект.),кв.8- 0,10м2; апрель2010г;</t>
        </r>
      </text>
    </comment>
    <comment ref="P178" authorId="0">
      <text>
        <r>
          <rPr>
            <sz val="9"/>
            <rFont val="Arial"/>
            <family val="0"/>
          </rPr>
          <t>User:
приб.(коррект.),кв.8- 0,20м2; апрель2010г;</t>
        </r>
      </text>
    </comment>
    <comment ref="S193" authorId="1">
      <text>
        <r>
          <rPr>
            <sz val="9"/>
            <rFont val="Arial"/>
            <family val="0"/>
          </rPr>
          <t>Pto12:
кв.21,22 промышлен. экспертиза</t>
        </r>
      </text>
    </comment>
    <comment ref="S194" authorId="1">
      <text>
        <r>
          <rPr>
            <sz val="9"/>
            <rFont val="Arial"/>
            <family val="0"/>
          </rPr>
          <t>Pto12:
стом. Улыбка</t>
        </r>
      </text>
    </comment>
    <comment ref="O200" authorId="0">
      <text>
        <r>
          <rPr>
            <sz val="9"/>
            <rFont val="Arial"/>
            <family val="0"/>
          </rPr>
          <t>User:
убыт.(коррект.),кв.62- 0,60м2; октябрь2009;</t>
        </r>
      </text>
    </comment>
    <comment ref="S200" authorId="1">
      <text>
        <r>
          <rPr>
            <sz val="9"/>
            <rFont val="Arial"/>
            <family val="0"/>
          </rPr>
          <t>Pto12:
кв.76-50,7, кв.1-47,8</t>
        </r>
      </text>
    </comment>
    <comment ref="O204" authorId="0">
      <text>
        <r>
          <rPr>
            <sz val="9"/>
            <rFont val="Arial"/>
            <family val="0"/>
          </rPr>
          <t>User:
убыт.(коррект.),кв.59- 0,20м2; октябрь2009;
убыт.(коррект.),кв.36- 1,00м2; апрель2010г;</t>
        </r>
      </text>
    </comment>
    <comment ref="P204" authorId="0">
      <text>
        <r>
          <rPr>
            <sz val="9"/>
            <rFont val="Arial"/>
            <family val="0"/>
          </rPr>
          <t>User:
убыт.(коррект.),кв.59- 0,20м2; октябрь2009;
убыт.(коррект.),кв.36- 1,70м2; апрель2010г;</t>
        </r>
      </text>
    </comment>
    <comment ref="O207" authorId="0">
      <text>
        <r>
          <rPr>
            <sz val="9"/>
            <rFont val="Arial"/>
            <family val="0"/>
          </rPr>
          <t>User:
убыт.(коррект.),кв.27- 1,40м2; октябрь2009;</t>
        </r>
      </text>
    </comment>
    <comment ref="O208" authorId="0">
      <text>
        <r>
          <rPr>
            <sz val="9"/>
            <rFont val="Arial"/>
            <family val="0"/>
          </rPr>
          <t xml:space="preserve">User:
Ушла кв.63, вх.№303 от 19.05.2009
Закрытие л/с кв.36 
Открытие л/с кв.№63,кв.№36.
Открытие л/с кв.36
375,7-убраны все закрытые л.сч. Как в ЕРКЦ
</t>
        </r>
      </text>
    </comment>
    <comment ref="P208" authorId="0">
      <text>
        <r>
          <rPr>
            <sz val="9"/>
            <rFont val="Arial"/>
            <family val="0"/>
          </rPr>
          <t>User:
Ушла кв.63, вх.№303 от 19.05.2009
Закрытие л/с кв.36 
Открытие л/с кв.№63,кв.№36.
Открытие л/с кв.36</t>
        </r>
      </text>
    </comment>
    <comment ref="O214" authorId="0">
      <text>
        <r>
          <rPr>
            <sz val="9"/>
            <rFont val="Arial"/>
            <family val="0"/>
          </rPr>
          <t>User:
убыт.(коррект.),кв.22- 1,00м2; октябрь2009;</t>
        </r>
      </text>
    </comment>
    <comment ref="P214" authorId="0">
      <text>
        <r>
          <rPr>
            <sz val="9"/>
            <rFont val="Arial"/>
            <family val="0"/>
          </rPr>
          <t>User:
убыт.(коррект.),кв.22- 0,50м2; октябрь2009;</t>
        </r>
      </text>
    </comment>
    <comment ref="S215" authorId="0">
      <text>
        <r>
          <rPr>
            <sz val="9"/>
            <rFont val="Arial"/>
            <family val="0"/>
          </rPr>
          <t xml:space="preserve">User:
СКБ кв.31
</t>
        </r>
      </text>
    </comment>
    <comment ref="O218" authorId="0">
      <text>
        <r>
          <rPr>
            <sz val="9"/>
            <rFont val="Arial"/>
            <family val="0"/>
          </rPr>
          <t>User:
убыт.(коррект.),кв.41- 1,40м2; октябрь2009;</t>
        </r>
      </text>
    </comment>
    <comment ref="P218" authorId="0">
      <text>
        <r>
          <rPr>
            <sz val="9"/>
            <rFont val="Arial"/>
            <family val="0"/>
          </rPr>
          <t>User:
убыт.(коррект.),кв.41- 1,40м2; октябрь2009;</t>
        </r>
      </text>
    </comment>
    <comment ref="O219" authorId="0">
      <text>
        <r>
          <rPr>
            <sz val="9"/>
            <rFont val="Arial"/>
            <family val="0"/>
          </rPr>
          <t>User:
убыт.(коррект.),кв.16- 1,10м2; октябрь2009;</t>
        </r>
      </text>
    </comment>
    <comment ref="P219" authorId="0">
      <text>
        <r>
          <rPr>
            <sz val="9"/>
            <rFont val="Arial"/>
            <family val="0"/>
          </rPr>
          <t>User:
убыт.(коррект.),кв.16- 1,10м2; октябрь2009;</t>
        </r>
      </text>
    </comment>
  </commentList>
</comments>
</file>

<file path=xl/sharedStrings.xml><?xml version="1.0" encoding="utf-8"?>
<sst xmlns="http://schemas.openxmlformats.org/spreadsheetml/2006/main" count="699" uniqueCount="217">
  <si>
    <t xml:space="preserve">                        СВЕДЕНИЯ  </t>
  </si>
  <si>
    <t>о  жилищном фонде, находяшемся в обслуживании в ООО "НЖСК +" по состоянию на 01.01.2017</t>
  </si>
  <si>
    <t>№ п/п</t>
  </si>
  <si>
    <t>Год ввода</t>
  </si>
  <si>
    <t>Год включения в реестр мун.собств.</t>
  </si>
  <si>
    <t>Почтовый адрес</t>
  </si>
  <si>
    <t>Номер дома</t>
  </si>
  <si>
    <t>Тип здания</t>
  </si>
  <si>
    <t>Категория</t>
  </si>
  <si>
    <t>Кол-во этажей</t>
  </si>
  <si>
    <t>Кол-во дом.</t>
  </si>
  <si>
    <t>Кол-во подъез.</t>
  </si>
  <si>
    <t>Кол-во входов</t>
  </si>
  <si>
    <t>Кол-во квартир</t>
  </si>
  <si>
    <t>Численность</t>
  </si>
  <si>
    <t xml:space="preserve">Общая площадь здания </t>
  </si>
  <si>
    <t>Площадь квартир</t>
  </si>
  <si>
    <t>в том числе</t>
  </si>
  <si>
    <t>Пл.лест.клеток                 с  К=1,3</t>
  </si>
  <si>
    <r>
      <t>МОП+</t>
    </r>
    <r>
      <rPr>
        <sz val="10"/>
        <rFont val="Times New Roman"/>
        <family val="0"/>
      </rPr>
      <t>уб</t>
    </r>
    <r>
      <rPr>
        <b/>
        <sz val="10"/>
        <rFont val="Times New Roman"/>
        <family val="0"/>
      </rPr>
      <t xml:space="preserve">.пл.лест.кл. </t>
    </r>
    <r>
      <rPr>
        <b/>
        <sz val="12"/>
        <rFont val="Times New Roman"/>
        <family val="0"/>
      </rPr>
      <t>вкл.1,2,3эт.; 3эт в 5эт и 4эт в 9эт</t>
    </r>
  </si>
  <si>
    <r>
      <t>МОП+уб.пл.лест.кл.</t>
    </r>
    <r>
      <rPr>
        <b/>
        <sz val="12"/>
        <rFont val="Times New Roman"/>
        <family val="0"/>
      </rPr>
      <t>св.3эт и 4эт</t>
    </r>
  </si>
  <si>
    <t>Площадь балк, лодж, терасс,м2 (с коэф.)</t>
  </si>
  <si>
    <t>принят.</t>
  </si>
  <si>
    <t>Жилье в аренде</t>
  </si>
  <si>
    <t>СКБ в квар., м2</t>
  </si>
  <si>
    <t>СКБ пер. м2</t>
  </si>
  <si>
    <t>Пл. лест. кл.</t>
  </si>
  <si>
    <t>Пл. мест общ. польз.</t>
  </si>
  <si>
    <t>на бал.</t>
  </si>
  <si>
    <t>Физ.лица</t>
  </si>
  <si>
    <t>Всего</t>
  </si>
  <si>
    <t>Общая</t>
  </si>
  <si>
    <t>в т.ч. жилая</t>
  </si>
  <si>
    <t>нов. тех.п.</t>
  </si>
  <si>
    <t>факт</t>
  </si>
  <si>
    <t>мкр.  И-2</t>
  </si>
  <si>
    <t xml:space="preserve"> </t>
  </si>
  <si>
    <t>81.03</t>
  </si>
  <si>
    <t xml:space="preserve">Ленина </t>
  </si>
  <si>
    <t>КПД</t>
  </si>
  <si>
    <t>81.04</t>
  </si>
  <si>
    <t xml:space="preserve">Космонавтов </t>
  </si>
  <si>
    <t xml:space="preserve">Холмогоpская </t>
  </si>
  <si>
    <t>80\28</t>
  </si>
  <si>
    <t>82\81</t>
  </si>
  <si>
    <t xml:space="preserve">Миpа </t>
  </si>
  <si>
    <t>82.02</t>
  </si>
  <si>
    <t>мкр. И</t>
  </si>
  <si>
    <t>2001</t>
  </si>
  <si>
    <t>11 б/элузл.</t>
  </si>
  <si>
    <t>99.10</t>
  </si>
  <si>
    <t>8 б/элуз.</t>
  </si>
  <si>
    <t>98.12</t>
  </si>
  <si>
    <t xml:space="preserve">60 лет  СССР </t>
  </si>
  <si>
    <t>10 б/элузл.</t>
  </si>
  <si>
    <t>94.12</t>
  </si>
  <si>
    <t>Кирп</t>
  </si>
  <si>
    <t>12 б/элузл.</t>
  </si>
  <si>
    <t>93.03</t>
  </si>
  <si>
    <t>58а</t>
  </si>
  <si>
    <t>мкр.Н-3</t>
  </si>
  <si>
    <t>03.01г.</t>
  </si>
  <si>
    <t>Шевченко</t>
  </si>
  <si>
    <t>90.12</t>
  </si>
  <si>
    <t>95.04</t>
  </si>
  <si>
    <t>мкр. Л</t>
  </si>
  <si>
    <t>92.07</t>
  </si>
  <si>
    <t>Холмогорская</t>
  </si>
  <si>
    <t>10 б/элузл</t>
  </si>
  <si>
    <t>Киевская</t>
  </si>
  <si>
    <t>8 б/элузл.</t>
  </si>
  <si>
    <t>11 б/элузл</t>
  </si>
  <si>
    <t>М-он   "Л"</t>
  </si>
  <si>
    <t>8 б/элузл</t>
  </si>
  <si>
    <t>мкр.УТДС</t>
  </si>
  <si>
    <t>М-он   "Р"</t>
  </si>
  <si>
    <t>20а</t>
  </si>
  <si>
    <t>пос.УТАДС</t>
  </si>
  <si>
    <t>М-он   "П"</t>
  </si>
  <si>
    <t>83"а"</t>
  </si>
  <si>
    <t>кирп.</t>
  </si>
  <si>
    <t>12 б/элузл</t>
  </si>
  <si>
    <t>84 "а"</t>
  </si>
  <si>
    <t>мкр.Г</t>
  </si>
  <si>
    <t>Республики</t>
  </si>
  <si>
    <t>без</t>
  </si>
  <si>
    <t>мкр."Д-1"</t>
  </si>
  <si>
    <t>Мира</t>
  </si>
  <si>
    <t>55/57</t>
  </si>
  <si>
    <t xml:space="preserve">Мира </t>
  </si>
  <si>
    <t>ИТОГО:</t>
  </si>
  <si>
    <t>м-н  Н</t>
  </si>
  <si>
    <t xml:space="preserve">Изыскателей </t>
  </si>
  <si>
    <t>21б</t>
  </si>
  <si>
    <t>96б</t>
  </si>
  <si>
    <t>13а</t>
  </si>
  <si>
    <t>13б</t>
  </si>
  <si>
    <t>13в</t>
  </si>
  <si>
    <t>б/к</t>
  </si>
  <si>
    <t>Учебная  зона</t>
  </si>
  <si>
    <t>41а</t>
  </si>
  <si>
    <t>41б</t>
  </si>
  <si>
    <t>43а</t>
  </si>
  <si>
    <t>43б</t>
  </si>
  <si>
    <t>м-н М</t>
  </si>
  <si>
    <t>32б</t>
  </si>
  <si>
    <t>Кирп.</t>
  </si>
  <si>
    <t>89в</t>
  </si>
  <si>
    <t>99.0</t>
  </si>
  <si>
    <t>89г</t>
  </si>
  <si>
    <t>91а</t>
  </si>
  <si>
    <t>91б</t>
  </si>
  <si>
    <t>93а</t>
  </si>
  <si>
    <t>93б</t>
  </si>
  <si>
    <t>93в</t>
  </si>
  <si>
    <t xml:space="preserve">Холмогорская </t>
  </si>
  <si>
    <t>16б</t>
  </si>
  <si>
    <t>21в</t>
  </si>
  <si>
    <t>01.05г.</t>
  </si>
  <si>
    <t>37а</t>
  </si>
  <si>
    <t>62б</t>
  </si>
  <si>
    <t>64а</t>
  </si>
  <si>
    <t>72в</t>
  </si>
  <si>
    <t>76а</t>
  </si>
  <si>
    <t xml:space="preserve"> мкр.6</t>
  </si>
  <si>
    <t>89.12</t>
  </si>
  <si>
    <t>90.08</t>
  </si>
  <si>
    <t>78а</t>
  </si>
  <si>
    <t>96.07</t>
  </si>
  <si>
    <t>85.03</t>
  </si>
  <si>
    <t>82а</t>
  </si>
  <si>
    <t>86.02</t>
  </si>
  <si>
    <t>82б</t>
  </si>
  <si>
    <t>82в</t>
  </si>
  <si>
    <t>86.03</t>
  </si>
  <si>
    <t>84а</t>
  </si>
  <si>
    <t>84б</t>
  </si>
  <si>
    <t>84в</t>
  </si>
  <si>
    <t>86.04</t>
  </si>
  <si>
    <t>36а</t>
  </si>
  <si>
    <t>87.04</t>
  </si>
  <si>
    <t>36б</t>
  </si>
  <si>
    <t>38а</t>
  </si>
  <si>
    <t>38б</t>
  </si>
  <si>
    <t>87.03</t>
  </si>
  <si>
    <t>38в</t>
  </si>
  <si>
    <t>40/13</t>
  </si>
  <si>
    <t>40а</t>
  </si>
  <si>
    <t>40б</t>
  </si>
  <si>
    <t xml:space="preserve">40 лет Победы </t>
  </si>
  <si>
    <t>7а</t>
  </si>
  <si>
    <t>7б</t>
  </si>
  <si>
    <t>7в</t>
  </si>
  <si>
    <t>35б</t>
  </si>
  <si>
    <t>ИТОГО  :</t>
  </si>
  <si>
    <t>мкр. " 5 "</t>
  </si>
  <si>
    <t xml:space="preserve">Высоцкого </t>
  </si>
  <si>
    <t>3а</t>
  </si>
  <si>
    <t>11а</t>
  </si>
  <si>
    <t xml:space="preserve">Магистральная </t>
  </si>
  <si>
    <t>111а</t>
  </si>
  <si>
    <t>111б</t>
  </si>
  <si>
    <t>113а</t>
  </si>
  <si>
    <t>113б</t>
  </si>
  <si>
    <t>115а</t>
  </si>
  <si>
    <t>115б</t>
  </si>
  <si>
    <t xml:space="preserve">Советская </t>
  </si>
  <si>
    <t>90а</t>
  </si>
  <si>
    <t>90б</t>
  </si>
  <si>
    <t>96а</t>
  </si>
  <si>
    <t>98а</t>
  </si>
  <si>
    <t>Советская</t>
  </si>
  <si>
    <t>мкр.7</t>
  </si>
  <si>
    <t>92.11</t>
  </si>
  <si>
    <t xml:space="preserve">В.Цоя </t>
  </si>
  <si>
    <t>92.10</t>
  </si>
  <si>
    <t>3б</t>
  </si>
  <si>
    <t>3в</t>
  </si>
  <si>
    <t>5б</t>
  </si>
  <si>
    <t>5в</t>
  </si>
  <si>
    <t>91.12</t>
  </si>
  <si>
    <t>9б</t>
  </si>
  <si>
    <t>9в</t>
  </si>
  <si>
    <t>11в</t>
  </si>
  <si>
    <t>11б</t>
  </si>
  <si>
    <t>97.06</t>
  </si>
  <si>
    <t>15а</t>
  </si>
  <si>
    <t>93.11</t>
  </si>
  <si>
    <t>17а</t>
  </si>
  <si>
    <t>19а</t>
  </si>
  <si>
    <t>94.03</t>
  </si>
  <si>
    <t>94.01</t>
  </si>
  <si>
    <t>21а</t>
  </si>
  <si>
    <t>97.07</t>
  </si>
  <si>
    <t xml:space="preserve">Высоцкого  </t>
  </si>
  <si>
    <t>5\7</t>
  </si>
  <si>
    <t>96.12</t>
  </si>
  <si>
    <t>22</t>
  </si>
  <si>
    <t>93.05</t>
  </si>
  <si>
    <t>30а</t>
  </si>
  <si>
    <t>30б</t>
  </si>
  <si>
    <t>93.06</t>
  </si>
  <si>
    <t>34а</t>
  </si>
  <si>
    <t>34б</t>
  </si>
  <si>
    <t>02.00</t>
  </si>
  <si>
    <t>38 а</t>
  </si>
  <si>
    <t>94.11</t>
  </si>
  <si>
    <t>94.09</t>
  </si>
  <si>
    <t>42а</t>
  </si>
  <si>
    <t>95.09</t>
  </si>
  <si>
    <t>42б</t>
  </si>
  <si>
    <t>94.05</t>
  </si>
  <si>
    <t>44а</t>
  </si>
  <si>
    <t>46</t>
  </si>
  <si>
    <t>94.04</t>
  </si>
  <si>
    <t>46а</t>
  </si>
  <si>
    <t>ВСЕГО: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</si>
</sst>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0.0"/>
    <numFmt numFmtId="181" formatCode="#,##0.0"/>
    <numFmt numFmtId="182" formatCode="0.000"/>
  </numFmts>
  <fonts count="50">
    <font>
      <sz val="10"/>
      <name val="Arial Cyr"/>
      <family val="0"/>
    </font>
    <font>
      <sz val="10"/>
      <name val="宋体"/>
      <family val="0"/>
    </font>
    <font>
      <b/>
      <sz val="10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sz val="8"/>
      <name val="Times New Roman"/>
      <family val="0"/>
    </font>
    <font>
      <i/>
      <sz val="10"/>
      <name val="Times New Roman"/>
      <family val="0"/>
    </font>
    <font>
      <sz val="10"/>
      <color indexed="9"/>
      <name val="Times New Roman"/>
      <family val="0"/>
    </font>
    <font>
      <sz val="9"/>
      <name val="Times New Roman"/>
      <family val="0"/>
    </font>
    <font>
      <sz val="8"/>
      <name val="Times New Roman"/>
      <family val="0"/>
    </font>
    <font>
      <sz val="11"/>
      <color indexed="9"/>
      <name val="Calibri"/>
      <family val="0"/>
    </font>
    <font>
      <b/>
      <sz val="13"/>
      <color indexed="62"/>
      <name val="Calibri"/>
      <family val="0"/>
    </font>
    <font>
      <sz val="11"/>
      <color indexed="17"/>
      <name val="Calibri"/>
      <family val="0"/>
    </font>
    <font>
      <sz val="11"/>
      <color indexed="10"/>
      <name val="Calibri"/>
      <family val="0"/>
    </font>
    <font>
      <b/>
      <sz val="18"/>
      <color indexed="62"/>
      <name val="Cambria"/>
      <family val="0"/>
    </font>
    <font>
      <sz val="11"/>
      <color indexed="63"/>
      <name val="Calibri"/>
      <family val="0"/>
    </font>
    <font>
      <b/>
      <sz val="11"/>
      <color indexed="53"/>
      <name val="Calibri"/>
      <family val="0"/>
    </font>
    <font>
      <sz val="11"/>
      <color indexed="62"/>
      <name val="Calibri"/>
      <family val="0"/>
    </font>
    <font>
      <b/>
      <sz val="11"/>
      <color indexed="62"/>
      <name val="Calibri"/>
      <family val="0"/>
    </font>
    <font>
      <b/>
      <sz val="11"/>
      <color indexed="63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u val="single"/>
      <sz val="10"/>
      <color indexed="48"/>
      <name val="Arial Cyr"/>
      <family val="0"/>
    </font>
    <font>
      <sz val="11"/>
      <color indexed="16"/>
      <name val="Calibri"/>
      <family val="0"/>
    </font>
    <font>
      <b/>
      <sz val="15"/>
      <color indexed="62"/>
      <name val="Calibri"/>
      <family val="0"/>
    </font>
    <font>
      <u val="single"/>
      <sz val="10"/>
      <color indexed="30"/>
      <name val="Arial Cyr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9"/>
      <name val="Arial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Calibri"/>
      <family val="0"/>
    </font>
    <font>
      <sz val="10"/>
      <color theme="0"/>
      <name val="Times New Roman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1" applyNumberFormat="0" applyFill="0" applyAlignment="0" applyProtection="0"/>
    <xf numFmtId="179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34" fillId="14" borderId="2" applyNumberFormat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177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5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2" borderId="4" applyNumberFormat="0" applyAlignment="0" applyProtection="0"/>
    <xf numFmtId="0" fontId="31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1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31" fillId="29" borderId="0" applyNumberFormat="0" applyBorder="0" applyAlignment="0" applyProtection="0"/>
    <xf numFmtId="17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46" fillId="31" borderId="0" applyNumberFormat="0" applyBorder="0" applyAlignment="0" applyProtection="0"/>
    <xf numFmtId="0" fontId="32" fillId="32" borderId="0" applyNumberFormat="0" applyBorder="0" applyAlignment="0" applyProtection="0"/>
    <xf numFmtId="0" fontId="47" fillId="26" borderId="9" applyNumberFormat="0" applyAlignment="0" applyProtection="0"/>
  </cellStyleXfs>
  <cellXfs count="27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textRotation="90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 applyProtection="1">
      <alignment horizontal="center" wrapText="1"/>
      <protection locked="0"/>
    </xf>
    <xf numFmtId="0" fontId="4" fillId="33" borderId="14" xfId="0" applyFont="1" applyFill="1" applyBorder="1" applyAlignment="1" applyProtection="1">
      <alignment horizontal="center" wrapText="1"/>
      <protection locked="0"/>
    </xf>
    <xf numFmtId="0" fontId="4" fillId="33" borderId="15" xfId="0" applyFont="1" applyFill="1" applyBorder="1" applyAlignment="1" applyProtection="1">
      <alignment horizontal="center" wrapText="1"/>
      <protection locked="0"/>
    </xf>
    <xf numFmtId="0" fontId="2" fillId="33" borderId="15" xfId="0" applyFont="1" applyFill="1" applyBorder="1" applyAlignment="1" applyProtection="1">
      <alignment horizontal="center" wrapText="1"/>
      <protection locked="0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7" xfId="0" applyFont="1" applyFill="1" applyBorder="1" applyAlignment="1" applyProtection="1">
      <alignment horizontal="left" wrapText="1"/>
      <protection locked="0"/>
    </xf>
    <xf numFmtId="0" fontId="4" fillId="33" borderId="18" xfId="0" applyFont="1" applyFill="1" applyBorder="1" applyAlignment="1" applyProtection="1">
      <alignment horizontal="center" wrapText="1"/>
      <protection locked="0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 applyProtection="1">
      <alignment horizontal="center" wrapText="1"/>
      <protection locked="0"/>
    </xf>
    <xf numFmtId="0" fontId="4" fillId="33" borderId="19" xfId="0" applyFont="1" applyFill="1" applyBorder="1" applyAlignment="1" applyProtection="1">
      <alignment horizontal="left" wrapText="1"/>
      <protection locked="0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 applyProtection="1">
      <alignment wrapText="1"/>
      <protection locked="0"/>
    </xf>
    <xf numFmtId="180" fontId="4" fillId="33" borderId="19" xfId="0" applyNumberFormat="1" applyFont="1" applyFill="1" applyBorder="1" applyAlignment="1" applyProtection="1">
      <alignment horizontal="left" wrapText="1"/>
      <protection locked="0"/>
    </xf>
    <xf numFmtId="0" fontId="2" fillId="33" borderId="19" xfId="0" applyFont="1" applyFill="1" applyBorder="1" applyAlignment="1" applyProtection="1">
      <alignment horizontal="center" wrapText="1"/>
      <protection locked="0"/>
    </xf>
    <xf numFmtId="49" fontId="4" fillId="33" borderId="19" xfId="0" applyNumberFormat="1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2" fillId="33" borderId="19" xfId="0" applyFont="1" applyFill="1" applyBorder="1" applyAlignment="1" applyProtection="1">
      <alignment horizontal="left" wrapText="1"/>
      <protection locked="0"/>
    </xf>
    <xf numFmtId="0" fontId="2" fillId="33" borderId="17" xfId="0" applyFont="1" applyFill="1" applyBorder="1" applyAlignment="1" applyProtection="1">
      <alignment horizontal="center" wrapText="1"/>
      <protection locked="0"/>
    </xf>
    <xf numFmtId="0" fontId="4" fillId="33" borderId="17" xfId="0" applyFont="1" applyFill="1" applyBorder="1" applyAlignment="1" applyProtection="1">
      <alignment horizontal="center" wrapText="1"/>
      <protection locked="0"/>
    </xf>
    <xf numFmtId="2" fontId="2" fillId="33" borderId="19" xfId="0" applyNumberFormat="1" applyFont="1" applyFill="1" applyBorder="1" applyAlignment="1" applyProtection="1">
      <alignment horizontal="center"/>
      <protection locked="0"/>
    </xf>
    <xf numFmtId="14" fontId="4" fillId="33" borderId="19" xfId="0" applyNumberFormat="1" applyFont="1" applyFill="1" applyBorder="1" applyAlignment="1" applyProtection="1">
      <alignment horizontal="center" wrapText="1"/>
      <protection locked="0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9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9" xfId="0" applyNumberFormat="1" applyFont="1" applyFill="1" applyBorder="1" applyAlignment="1" applyProtection="1">
      <alignment horizontal="center" wrapText="1"/>
      <protection locked="0"/>
    </xf>
    <xf numFmtId="0" fontId="4" fillId="33" borderId="0" xfId="0" applyFont="1" applyFill="1" applyBorder="1" applyAlignment="1">
      <alignment/>
    </xf>
    <xf numFmtId="0" fontId="2" fillId="21" borderId="10" xfId="0" applyFont="1" applyFill="1" applyBorder="1" applyAlignment="1" applyProtection="1">
      <alignment horizontal="center" vertical="center" textRotation="90" wrapText="1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4" fillId="21" borderId="11" xfId="0" applyFont="1" applyFill="1" applyBorder="1" applyAlignment="1">
      <alignment horizontal="center" vertical="center" textRotation="90" wrapText="1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4" fillId="21" borderId="12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 applyProtection="1">
      <alignment horizontal="center" vertical="center" textRotation="90" wrapText="1"/>
      <protection locked="0"/>
    </xf>
    <xf numFmtId="0" fontId="2" fillId="21" borderId="13" xfId="0" applyFont="1" applyFill="1" applyBorder="1" applyAlignment="1" applyProtection="1">
      <alignment horizontal="center" wrapText="1"/>
      <protection locked="0"/>
    </xf>
    <xf numFmtId="0" fontId="4" fillId="21" borderId="15" xfId="0" applyFont="1" applyFill="1" applyBorder="1" applyAlignment="1" applyProtection="1">
      <alignment wrapText="1"/>
      <protection locked="0"/>
    </xf>
    <xf numFmtId="181" fontId="4" fillId="33" borderId="15" xfId="0" applyNumberFormat="1" applyFont="1" applyFill="1" applyBorder="1" applyAlignment="1" applyProtection="1">
      <alignment wrapText="1"/>
      <protection locked="0"/>
    </xf>
    <xf numFmtId="0" fontId="4" fillId="33" borderId="24" xfId="0" applyFont="1" applyFill="1" applyBorder="1" applyAlignment="1" applyProtection="1">
      <alignment wrapText="1"/>
      <protection locked="0"/>
    </xf>
    <xf numFmtId="2" fontId="4" fillId="21" borderId="17" xfId="0" applyNumberFormat="1" applyFont="1" applyFill="1" applyBorder="1" applyAlignment="1" applyProtection="1">
      <alignment wrapText="1"/>
      <protection locked="0"/>
    </xf>
    <xf numFmtId="2" fontId="4" fillId="33" borderId="17" xfId="0" applyNumberFormat="1" applyFont="1" applyFill="1" applyBorder="1" applyAlignment="1" applyProtection="1">
      <alignment wrapText="1"/>
      <protection locked="0"/>
    </xf>
    <xf numFmtId="180" fontId="4" fillId="33" borderId="25" xfId="0" applyNumberFormat="1" applyFont="1" applyFill="1" applyBorder="1" applyAlignment="1" applyProtection="1">
      <alignment wrapText="1"/>
      <protection locked="0"/>
    </xf>
    <xf numFmtId="2" fontId="4" fillId="21" borderId="19" xfId="0" applyNumberFormat="1" applyFont="1" applyFill="1" applyBorder="1" applyAlignment="1" applyProtection="1">
      <alignment wrapText="1"/>
      <protection locked="0"/>
    </xf>
    <xf numFmtId="2" fontId="4" fillId="33" borderId="19" xfId="0" applyNumberFormat="1" applyFont="1" applyFill="1" applyBorder="1" applyAlignment="1" applyProtection="1">
      <alignment wrapText="1"/>
      <protection locked="0"/>
    </xf>
    <xf numFmtId="180" fontId="4" fillId="33" borderId="26" xfId="0" applyNumberFormat="1" applyFont="1" applyFill="1" applyBorder="1" applyAlignment="1" applyProtection="1">
      <alignment wrapText="1"/>
      <protection locked="0"/>
    </xf>
    <xf numFmtId="0" fontId="4" fillId="33" borderId="26" xfId="0" applyFont="1" applyFill="1" applyBorder="1" applyAlignment="1" applyProtection="1">
      <alignment wrapText="1"/>
      <protection locked="0"/>
    </xf>
    <xf numFmtId="2" fontId="2" fillId="21" borderId="19" xfId="0" applyNumberFormat="1" applyFont="1" applyFill="1" applyBorder="1" applyAlignment="1" applyProtection="1">
      <alignment horizontal="center" wrapText="1"/>
      <protection locked="0"/>
    </xf>
    <xf numFmtId="180" fontId="2" fillId="33" borderId="26" xfId="0" applyNumberFormat="1" applyFont="1" applyFill="1" applyBorder="1" applyAlignment="1" applyProtection="1">
      <alignment horizontal="center" wrapText="1"/>
      <protection locked="0"/>
    </xf>
    <xf numFmtId="3" fontId="4" fillId="33" borderId="19" xfId="0" applyNumberFormat="1" applyFont="1" applyFill="1" applyBorder="1" applyAlignment="1">
      <alignment horizontal="center" wrapText="1"/>
    </xf>
    <xf numFmtId="0" fontId="4" fillId="21" borderId="19" xfId="0" applyFont="1" applyFill="1" applyBorder="1" applyAlignment="1" applyProtection="1">
      <alignment wrapText="1"/>
      <protection locked="0"/>
    </xf>
    <xf numFmtId="180" fontId="4" fillId="33" borderId="19" xfId="0" applyNumberFormat="1" applyFont="1" applyFill="1" applyBorder="1" applyAlignment="1">
      <alignment wrapText="1"/>
    </xf>
    <xf numFmtId="0" fontId="4" fillId="33" borderId="26" xfId="0" applyFont="1" applyFill="1" applyBorder="1" applyAlignment="1">
      <alignment wrapText="1"/>
    </xf>
    <xf numFmtId="180" fontId="4" fillId="21" borderId="19" xfId="0" applyNumberFormat="1" applyFont="1" applyFill="1" applyBorder="1" applyAlignment="1" applyProtection="1">
      <alignment wrapText="1"/>
      <protection locked="0"/>
    </xf>
    <xf numFmtId="0" fontId="2" fillId="21" borderId="19" xfId="0" applyFont="1" applyFill="1" applyBorder="1" applyAlignment="1" applyProtection="1">
      <alignment horizontal="center" wrapText="1"/>
      <protection locked="0"/>
    </xf>
    <xf numFmtId="180" fontId="2" fillId="33" borderId="19" xfId="0" applyNumberFormat="1" applyFont="1" applyFill="1" applyBorder="1" applyAlignment="1" applyProtection="1">
      <alignment horizontal="center" wrapText="1"/>
      <protection locked="0"/>
    </xf>
    <xf numFmtId="0" fontId="2" fillId="33" borderId="26" xfId="0" applyFont="1" applyFill="1" applyBorder="1" applyAlignment="1" applyProtection="1">
      <alignment horizontal="center" wrapText="1"/>
      <protection locked="0"/>
    </xf>
    <xf numFmtId="180" fontId="4" fillId="33" borderId="19" xfId="0" applyNumberFormat="1" applyFont="1" applyFill="1" applyBorder="1" applyAlignment="1" applyProtection="1">
      <alignment wrapText="1"/>
      <protection locked="0"/>
    </xf>
    <xf numFmtId="180" fontId="2" fillId="21" borderId="19" xfId="0" applyNumberFormat="1" applyFont="1" applyFill="1" applyBorder="1" applyAlignment="1">
      <alignment horizontal="center" wrapText="1"/>
    </xf>
    <xf numFmtId="180" fontId="2" fillId="33" borderId="19" xfId="0" applyNumberFormat="1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80" fontId="2" fillId="21" borderId="19" xfId="0" applyNumberFormat="1" applyFont="1" applyFill="1" applyBorder="1" applyAlignment="1" applyProtection="1">
      <alignment wrapText="1"/>
      <protection locked="0"/>
    </xf>
    <xf numFmtId="180" fontId="2" fillId="33" borderId="19" xfId="0" applyNumberFormat="1" applyFont="1" applyFill="1" applyBorder="1" applyAlignment="1" applyProtection="1">
      <alignment wrapText="1"/>
      <protection locked="0"/>
    </xf>
    <xf numFmtId="0" fontId="2" fillId="33" borderId="26" xfId="0" applyFont="1" applyFill="1" applyBorder="1" applyAlignment="1" applyProtection="1">
      <alignment wrapText="1"/>
      <protection locked="0"/>
    </xf>
    <xf numFmtId="2" fontId="2" fillId="21" borderId="19" xfId="0" applyNumberFormat="1" applyFont="1" applyFill="1" applyBorder="1" applyAlignment="1" applyProtection="1">
      <alignment wrapText="1"/>
      <protection locked="0"/>
    </xf>
    <xf numFmtId="2" fontId="2" fillId="33" borderId="19" xfId="0" applyNumberFormat="1" applyFont="1" applyFill="1" applyBorder="1" applyAlignment="1" applyProtection="1">
      <alignment wrapText="1"/>
      <protection locked="0"/>
    </xf>
    <xf numFmtId="0" fontId="4" fillId="21" borderId="19" xfId="0" applyFont="1" applyFill="1" applyBorder="1" applyAlignment="1">
      <alignment wrapText="1"/>
    </xf>
    <xf numFmtId="2" fontId="2" fillId="33" borderId="19" xfId="0" applyNumberFormat="1" applyFont="1" applyFill="1" applyBorder="1" applyAlignment="1">
      <alignment horizontal="center" wrapText="1"/>
    </xf>
    <xf numFmtId="0" fontId="2" fillId="21" borderId="19" xfId="0" applyNumberFormat="1" applyFont="1" applyFill="1" applyBorder="1" applyAlignment="1" applyProtection="1">
      <alignment horizontal="center" wrapText="1"/>
      <protection locked="0"/>
    </xf>
    <xf numFmtId="2" fontId="2" fillId="33" borderId="19" xfId="0" applyNumberFormat="1" applyFont="1" applyFill="1" applyBorder="1" applyAlignment="1" applyProtection="1">
      <alignment horizontal="center" wrapText="1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27" xfId="0" applyFont="1" applyFill="1" applyBorder="1" applyAlignment="1" applyProtection="1">
      <alignment horizontal="center" wrapText="1"/>
      <protection locked="0"/>
    </xf>
    <xf numFmtId="0" fontId="2" fillId="33" borderId="28" xfId="0" applyFont="1" applyFill="1" applyBorder="1" applyAlignment="1" applyProtection="1">
      <alignment horizontal="center" wrapText="1"/>
      <protection locked="0"/>
    </xf>
    <xf numFmtId="0" fontId="2" fillId="33" borderId="29" xfId="0" applyFont="1" applyFill="1" applyBorder="1" applyAlignment="1" applyProtection="1">
      <alignment horizontal="center" wrapText="1"/>
      <protection locked="0"/>
    </xf>
    <xf numFmtId="0" fontId="2" fillId="33" borderId="28" xfId="0" applyFont="1" applyFill="1" applyBorder="1" applyAlignment="1" applyProtection="1">
      <alignment horizontal="center" textRotation="90" wrapText="1"/>
      <protection locked="0"/>
    </xf>
    <xf numFmtId="0" fontId="2" fillId="33" borderId="13" xfId="0" applyFont="1" applyFill="1" applyBorder="1" applyAlignment="1" applyProtection="1">
      <alignment horizontal="center" textRotation="90" wrapText="1"/>
      <protection locked="0"/>
    </xf>
    <xf numFmtId="0" fontId="4" fillId="33" borderId="30" xfId="0" applyFont="1" applyFill="1" applyBorder="1" applyAlignment="1" applyProtection="1">
      <alignment horizontal="right" wrapText="1"/>
      <protection locked="0"/>
    </xf>
    <xf numFmtId="0" fontId="4" fillId="33" borderId="17" xfId="0" applyFont="1" applyFill="1" applyBorder="1" applyAlignment="1" applyProtection="1">
      <alignment horizontal="right" wrapText="1"/>
      <protection locked="0"/>
    </xf>
    <xf numFmtId="180" fontId="4" fillId="33" borderId="31" xfId="0" applyNumberFormat="1" applyFont="1" applyFill="1" applyBorder="1" applyAlignment="1">
      <alignment wrapText="1"/>
    </xf>
    <xf numFmtId="181" fontId="4" fillId="33" borderId="19" xfId="0" applyNumberFormat="1" applyFont="1" applyFill="1" applyBorder="1" applyAlignment="1">
      <alignment wrapText="1"/>
    </xf>
    <xf numFmtId="0" fontId="4" fillId="33" borderId="31" xfId="0" applyFont="1" applyFill="1" applyBorder="1" applyAlignment="1">
      <alignment wrapText="1"/>
    </xf>
    <xf numFmtId="180" fontId="4" fillId="33" borderId="31" xfId="0" applyNumberFormat="1" applyFont="1" applyFill="1" applyBorder="1" applyAlignment="1" applyProtection="1">
      <alignment horizontal="right" wrapText="1"/>
      <protection locked="0"/>
    </xf>
    <xf numFmtId="181" fontId="2" fillId="33" borderId="31" xfId="0" applyNumberFormat="1" applyFont="1" applyFill="1" applyBorder="1" applyAlignment="1" applyProtection="1">
      <alignment horizontal="center" wrapText="1"/>
      <protection locked="0"/>
    </xf>
    <xf numFmtId="181" fontId="2" fillId="33" borderId="19" xfId="0" applyNumberFormat="1" applyFont="1" applyFill="1" applyBorder="1" applyAlignment="1" applyProtection="1">
      <alignment horizontal="center" wrapText="1"/>
      <protection locked="0"/>
    </xf>
    <xf numFmtId="0" fontId="4" fillId="33" borderId="31" xfId="0" applyFont="1" applyFill="1" applyBorder="1" applyAlignment="1">
      <alignment horizontal="right" wrapText="1"/>
    </xf>
    <xf numFmtId="0" fontId="4" fillId="33" borderId="19" xfId="0" applyFont="1" applyFill="1" applyBorder="1" applyAlignment="1">
      <alignment horizontal="right" wrapText="1"/>
    </xf>
    <xf numFmtId="0" fontId="2" fillId="33" borderId="31" xfId="0" applyFont="1" applyFill="1" applyBorder="1" applyAlignment="1" applyProtection="1">
      <alignment horizontal="center" wrapText="1"/>
      <protection locked="0"/>
    </xf>
    <xf numFmtId="0" fontId="2" fillId="33" borderId="31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right" wrapText="1"/>
    </xf>
    <xf numFmtId="0" fontId="2" fillId="33" borderId="19" xfId="0" applyFont="1" applyFill="1" applyBorder="1" applyAlignment="1">
      <alignment horizontal="right" wrapText="1"/>
    </xf>
    <xf numFmtId="0" fontId="2" fillId="33" borderId="19" xfId="0" applyFont="1" applyFill="1" applyBorder="1" applyAlignment="1">
      <alignment wrapText="1"/>
    </xf>
    <xf numFmtId="0" fontId="2" fillId="33" borderId="31" xfId="0" applyNumberFormat="1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textRotation="90"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2" fillId="33" borderId="11" xfId="0" applyFont="1" applyFill="1" applyBorder="1" applyAlignment="1" applyProtection="1">
      <alignment horizontal="center" textRotation="90" wrapText="1"/>
      <protection locked="0"/>
    </xf>
    <xf numFmtId="0" fontId="2" fillId="33" borderId="12" xfId="0" applyFont="1" applyFill="1" applyBorder="1" applyAlignment="1" applyProtection="1">
      <alignment horizontal="center" textRotation="90" wrapText="1"/>
      <protection locked="0"/>
    </xf>
    <xf numFmtId="0" fontId="4" fillId="33" borderId="17" xfId="0" applyFont="1" applyFill="1" applyBorder="1" applyAlignment="1">
      <alignment wrapText="1"/>
    </xf>
    <xf numFmtId="0" fontId="4" fillId="33" borderId="17" xfId="0" applyFont="1" applyFill="1" applyBorder="1" applyAlignment="1" applyProtection="1">
      <alignment wrapText="1"/>
      <protection locked="0"/>
    </xf>
    <xf numFmtId="180" fontId="4" fillId="33" borderId="19" xfId="0" applyNumberFormat="1" applyFont="1" applyFill="1" applyBorder="1" applyAlignment="1">
      <alignment horizontal="center" wrapText="1"/>
    </xf>
    <xf numFmtId="180" fontId="4" fillId="33" borderId="19" xfId="0" applyNumberFormat="1" applyFont="1" applyFill="1" applyBorder="1" applyAlignment="1">
      <alignment horizontal="right" wrapText="1"/>
    </xf>
    <xf numFmtId="2" fontId="4" fillId="33" borderId="19" xfId="0" applyNumberFormat="1" applyFont="1" applyFill="1" applyBorder="1" applyAlignment="1">
      <alignment horizontal="center" wrapText="1"/>
    </xf>
    <xf numFmtId="181" fontId="2" fillId="33" borderId="19" xfId="0" applyNumberFormat="1" applyFont="1" applyFill="1" applyBorder="1" applyAlignment="1">
      <alignment horizontal="center" wrapText="1"/>
    </xf>
    <xf numFmtId="181" fontId="4" fillId="33" borderId="19" xfId="0" applyNumberFormat="1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20" xfId="0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33" borderId="21" xfId="0" applyFont="1" applyFill="1" applyBorder="1" applyAlignment="1" applyProtection="1">
      <alignment horizontal="center" wrapText="1"/>
      <protection locked="0"/>
    </xf>
    <xf numFmtId="0" fontId="4" fillId="33" borderId="12" xfId="0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center" textRotation="90" wrapText="1"/>
      <protection locked="0"/>
    </xf>
    <xf numFmtId="0" fontId="4" fillId="33" borderId="23" xfId="0" applyFont="1" applyFill="1" applyBorder="1" applyAlignment="1" applyProtection="1">
      <alignment horizontal="center" textRotation="90" wrapText="1"/>
      <protection locked="0"/>
    </xf>
    <xf numFmtId="0" fontId="4" fillId="33" borderId="32" xfId="0" applyFont="1" applyFill="1" applyBorder="1" applyAlignment="1" applyProtection="1">
      <alignment wrapText="1"/>
      <protection locked="0"/>
    </xf>
    <xf numFmtId="0" fontId="4" fillId="33" borderId="33" xfId="0" applyFont="1" applyFill="1" applyBorder="1" applyAlignment="1" applyProtection="1">
      <alignment wrapText="1"/>
      <protection locked="0"/>
    </xf>
    <xf numFmtId="0" fontId="2" fillId="33" borderId="34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2" fillId="33" borderId="34" xfId="0" applyFont="1" applyFill="1" applyBorder="1" applyAlignment="1" applyProtection="1">
      <alignment horizontal="center" wrapText="1"/>
      <protection locked="0"/>
    </xf>
    <xf numFmtId="0" fontId="4" fillId="33" borderId="36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wrapText="1"/>
    </xf>
    <xf numFmtId="182" fontId="2" fillId="33" borderId="19" xfId="0" applyNumberFormat="1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40" xfId="0" applyFont="1" applyFill="1" applyBorder="1" applyAlignment="1">
      <alignment horizontal="center" wrapText="1"/>
    </xf>
    <xf numFmtId="0" fontId="4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4" fillId="33" borderId="31" xfId="0" applyFont="1" applyFill="1" applyBorder="1" applyAlignment="1">
      <alignment horizontal="center" wrapText="1"/>
    </xf>
    <xf numFmtId="0" fontId="4" fillId="33" borderId="43" xfId="0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4" fillId="33" borderId="47" xfId="0" applyFont="1" applyFill="1" applyBorder="1" applyAlignment="1">
      <alignment horizontal="center" wrapText="1"/>
    </xf>
    <xf numFmtId="0" fontId="4" fillId="33" borderId="48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NumberFormat="1" applyFont="1" applyFill="1" applyBorder="1" applyAlignment="1" applyProtection="1">
      <alignment horizontal="center" wrapText="1"/>
      <protection locked="0"/>
    </xf>
    <xf numFmtId="0" fontId="4" fillId="33" borderId="18" xfId="0" applyFont="1" applyFill="1" applyBorder="1" applyAlignment="1">
      <alignment horizontal="center"/>
    </xf>
    <xf numFmtId="0" fontId="2" fillId="33" borderId="19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left"/>
      <protection locked="0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 applyProtection="1">
      <alignment horizontal="left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1" fontId="2" fillId="33" borderId="19" xfId="0" applyNumberFormat="1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 locked="0"/>
    </xf>
    <xf numFmtId="0" fontId="2" fillId="33" borderId="19" xfId="0" applyFont="1" applyFill="1" applyBorder="1" applyAlignment="1">
      <alignment/>
    </xf>
    <xf numFmtId="0" fontId="4" fillId="21" borderId="19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0" fontId="4" fillId="33" borderId="26" xfId="0" applyFont="1" applyFill="1" applyBorder="1" applyAlignment="1" applyProtection="1">
      <alignment/>
      <protection locked="0"/>
    </xf>
    <xf numFmtId="2" fontId="4" fillId="33" borderId="19" xfId="0" applyNumberFormat="1" applyFont="1" applyFill="1" applyBorder="1" applyAlignment="1" applyProtection="1">
      <alignment/>
      <protection locked="0"/>
    </xf>
    <xf numFmtId="2" fontId="4" fillId="33" borderId="19" xfId="0" applyNumberFormat="1" applyFont="1" applyFill="1" applyBorder="1" applyAlignment="1">
      <alignment/>
    </xf>
    <xf numFmtId="0" fontId="2" fillId="21" borderId="19" xfId="0" applyFont="1" applyFill="1" applyBorder="1" applyAlignment="1" applyProtection="1">
      <alignment horizontal="center"/>
      <protection locked="0"/>
    </xf>
    <xf numFmtId="0" fontId="2" fillId="33" borderId="26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180" fontId="4" fillId="33" borderId="26" xfId="0" applyNumberFormat="1" applyFont="1" applyFill="1" applyBorder="1" applyAlignment="1" applyProtection="1">
      <alignment/>
      <protection locked="0"/>
    </xf>
    <xf numFmtId="180" fontId="4" fillId="33" borderId="19" xfId="0" applyNumberFormat="1" applyFont="1" applyFill="1" applyBorder="1" applyAlignment="1" applyProtection="1">
      <alignment/>
      <protection locked="0"/>
    </xf>
    <xf numFmtId="0" fontId="2" fillId="21" borderId="19" xfId="0" applyFont="1" applyFill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 locked="0"/>
    </xf>
    <xf numFmtId="180" fontId="4" fillId="21" borderId="19" xfId="0" applyNumberFormat="1" applyFont="1" applyFill="1" applyBorder="1" applyAlignment="1" applyProtection="1">
      <alignment/>
      <protection locked="0"/>
    </xf>
    <xf numFmtId="180" fontId="4" fillId="33" borderId="26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1" xfId="0" applyFont="1" applyFill="1" applyBorder="1" applyAlignment="1" applyProtection="1">
      <alignment horizontal="right"/>
      <protection locked="0"/>
    </xf>
    <xf numFmtId="0" fontId="4" fillId="33" borderId="19" xfId="0" applyFont="1" applyFill="1" applyBorder="1" applyAlignment="1" applyProtection="1">
      <alignment horizontal="right"/>
      <protection locked="0"/>
    </xf>
    <xf numFmtId="0" fontId="2" fillId="33" borderId="31" xfId="0" applyFont="1" applyFill="1" applyBorder="1" applyAlignment="1" applyProtection="1">
      <alignment horizontal="center"/>
      <protection locked="0"/>
    </xf>
    <xf numFmtId="0" fontId="4" fillId="33" borderId="31" xfId="0" applyFont="1" applyFill="1" applyBorder="1" applyAlignment="1" applyProtection="1">
      <alignment horizontal="center"/>
      <protection locked="0"/>
    </xf>
    <xf numFmtId="4" fontId="2" fillId="33" borderId="31" xfId="0" applyNumberFormat="1" applyFont="1" applyFill="1" applyBorder="1" applyAlignment="1" applyProtection="1">
      <alignment horizontal="center"/>
      <protection locked="0"/>
    </xf>
    <xf numFmtId="180" fontId="2" fillId="33" borderId="31" xfId="0" applyNumberFormat="1" applyFont="1" applyFill="1" applyBorder="1" applyAlignment="1" applyProtection="1">
      <alignment/>
      <protection locked="0"/>
    </xf>
    <xf numFmtId="180" fontId="2" fillId="33" borderId="19" xfId="0" applyNumberFormat="1" applyFont="1" applyFill="1" applyBorder="1" applyAlignment="1" applyProtection="1">
      <alignment/>
      <protection locked="0"/>
    </xf>
    <xf numFmtId="2" fontId="4" fillId="33" borderId="19" xfId="0" applyNumberFormat="1" applyFont="1" applyFill="1" applyBorder="1" applyAlignment="1">
      <alignment/>
    </xf>
    <xf numFmtId="180" fontId="4" fillId="33" borderId="19" xfId="0" applyNumberFormat="1" applyFont="1" applyFill="1" applyBorder="1" applyAlignment="1">
      <alignment/>
    </xf>
    <xf numFmtId="0" fontId="8" fillId="33" borderId="19" xfId="0" applyFont="1" applyFill="1" applyBorder="1" applyAlignment="1">
      <alignment/>
    </xf>
    <xf numFmtId="2" fontId="2" fillId="33" borderId="19" xfId="0" applyNumberFormat="1" applyFont="1" applyFill="1" applyBorder="1" applyAlignment="1" applyProtection="1">
      <alignment/>
      <protection locked="0"/>
    </xf>
    <xf numFmtId="0" fontId="2" fillId="33" borderId="49" xfId="0" applyFont="1" applyFill="1" applyBorder="1" applyAlignment="1" applyProtection="1">
      <alignment horizontal="center"/>
      <protection locked="0"/>
    </xf>
    <xf numFmtId="0" fontId="4" fillId="33" borderId="33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182" fontId="4" fillId="33" borderId="19" xfId="0" applyNumberFormat="1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2" fillId="33" borderId="50" xfId="0" applyFont="1" applyFill="1" applyBorder="1" applyAlignment="1" applyProtection="1">
      <alignment horizontal="center"/>
      <protection locked="0"/>
    </xf>
    <xf numFmtId="0" fontId="2" fillId="33" borderId="41" xfId="0" applyFont="1" applyFill="1" applyBorder="1" applyAlignment="1" applyProtection="1">
      <alignment horizontal="center"/>
      <protection locked="0"/>
    </xf>
    <xf numFmtId="0" fontId="4" fillId="33" borderId="34" xfId="0" applyFont="1" applyFill="1" applyBorder="1" applyAlignment="1">
      <alignment/>
    </xf>
    <xf numFmtId="0" fontId="2" fillId="33" borderId="28" xfId="0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/>
    </xf>
    <xf numFmtId="0" fontId="2" fillId="33" borderId="23" xfId="0" applyFont="1" applyFill="1" applyBorder="1" applyAlignment="1" applyProtection="1">
      <alignment horizontal="center"/>
      <protection locked="0"/>
    </xf>
    <xf numFmtId="0" fontId="2" fillId="33" borderId="28" xfId="0" applyFont="1" applyFill="1" applyBorder="1" applyAlignment="1" applyProtection="1">
      <alignment/>
      <protection locked="0"/>
    </xf>
    <xf numFmtId="0" fontId="2" fillId="33" borderId="47" xfId="0" applyFont="1" applyFill="1" applyBorder="1" applyAlignment="1" applyProtection="1">
      <alignment horizontal="center"/>
      <protection locked="0"/>
    </xf>
    <xf numFmtId="0" fontId="2" fillId="33" borderId="48" xfId="0" applyFont="1" applyFill="1" applyBorder="1" applyAlignment="1" applyProtection="1">
      <alignment horizontal="center"/>
      <protection locked="0"/>
    </xf>
    <xf numFmtId="0" fontId="4" fillId="33" borderId="30" xfId="0" applyFont="1" applyFill="1" applyBorder="1" applyAlignment="1">
      <alignment/>
    </xf>
    <xf numFmtId="0" fontId="48" fillId="33" borderId="18" xfId="0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/>
    </xf>
    <xf numFmtId="180" fontId="2" fillId="21" borderId="19" xfId="0" applyNumberFormat="1" applyFont="1" applyFill="1" applyBorder="1" applyAlignment="1">
      <alignment/>
    </xf>
    <xf numFmtId="180" fontId="2" fillId="33" borderId="19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180" fontId="4" fillId="33" borderId="19" xfId="0" applyNumberFormat="1" applyFont="1" applyFill="1" applyBorder="1" applyAlignment="1">
      <alignment/>
    </xf>
    <xf numFmtId="2" fontId="2" fillId="33" borderId="26" xfId="0" applyNumberFormat="1" applyFont="1" applyFill="1" applyBorder="1" applyAlignment="1" applyProtection="1">
      <alignment/>
      <protection locked="0"/>
    </xf>
    <xf numFmtId="0" fontId="4" fillId="33" borderId="25" xfId="0" applyFont="1" applyFill="1" applyBorder="1" applyAlignment="1">
      <alignment/>
    </xf>
    <xf numFmtId="2" fontId="4" fillId="33" borderId="26" xfId="0" applyNumberFormat="1" applyFont="1" applyFill="1" applyBorder="1" applyAlignment="1">
      <alignment/>
    </xf>
    <xf numFmtId="180" fontId="2" fillId="33" borderId="34" xfId="0" applyNumberFormat="1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 wrapText="1"/>
      <protection locked="0"/>
    </xf>
    <xf numFmtId="0" fontId="10" fillId="33" borderId="19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left"/>
    </xf>
    <xf numFmtId="0" fontId="10" fillId="33" borderId="19" xfId="0" applyFont="1" applyFill="1" applyBorder="1" applyAlignment="1" applyProtection="1">
      <alignment horizontal="left"/>
      <protection locked="0"/>
    </xf>
    <xf numFmtId="0" fontId="4" fillId="33" borderId="51" xfId="0" applyFont="1" applyFill="1" applyBorder="1" applyAlignment="1">
      <alignment horizontal="center"/>
    </xf>
    <xf numFmtId="0" fontId="4" fillId="33" borderId="51" xfId="0" applyFont="1" applyFill="1" applyBorder="1" applyAlignment="1" applyProtection="1">
      <alignment horizontal="left"/>
      <protection locked="0"/>
    </xf>
    <xf numFmtId="0" fontId="4" fillId="33" borderId="52" xfId="0" applyFont="1" applyFill="1" applyBorder="1" applyAlignment="1">
      <alignment/>
    </xf>
    <xf numFmtId="0" fontId="2" fillId="33" borderId="53" xfId="0" applyFont="1" applyFill="1" applyBorder="1" applyAlignment="1">
      <alignment horizontal="center"/>
    </xf>
    <xf numFmtId="0" fontId="2" fillId="33" borderId="53" xfId="0" applyFont="1" applyFill="1" applyBorder="1" applyAlignment="1" applyProtection="1">
      <alignment horizontal="left"/>
      <protection locked="0"/>
    </xf>
    <xf numFmtId="0" fontId="2" fillId="33" borderId="52" xfId="0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16" fontId="2" fillId="33" borderId="19" xfId="0" applyNumberFormat="1" applyFont="1" applyFill="1" applyBorder="1" applyAlignment="1" applyProtection="1">
      <alignment horizontal="center"/>
      <protection locked="0"/>
    </xf>
    <xf numFmtId="0" fontId="6" fillId="33" borderId="19" xfId="0" applyFont="1" applyFill="1" applyBorder="1" applyAlignment="1">
      <alignment horizontal="center"/>
    </xf>
    <xf numFmtId="0" fontId="6" fillId="33" borderId="19" xfId="0" applyFont="1" applyFill="1" applyBorder="1" applyAlignment="1" applyProtection="1">
      <alignment horizontal="center"/>
      <protection locked="0"/>
    </xf>
    <xf numFmtId="0" fontId="2" fillId="33" borderId="51" xfId="0" applyFont="1" applyFill="1" applyBorder="1" applyAlignment="1" applyProtection="1">
      <alignment horizontal="center"/>
      <protection locked="0"/>
    </xf>
    <xf numFmtId="0" fontId="4" fillId="33" borderId="51" xfId="0" applyFont="1" applyFill="1" applyBorder="1" applyAlignment="1" applyProtection="1">
      <alignment horizontal="center"/>
      <protection locked="0"/>
    </xf>
    <xf numFmtId="0" fontId="2" fillId="33" borderId="53" xfId="0" applyFont="1" applyFill="1" applyBorder="1" applyAlignment="1" applyProtection="1">
      <alignment horizontal="center"/>
      <protection locked="0"/>
    </xf>
    <xf numFmtId="0" fontId="2" fillId="33" borderId="53" xfId="0" applyFont="1" applyFill="1" applyBorder="1" applyAlignment="1">
      <alignment horizontal="right"/>
    </xf>
    <xf numFmtId="0" fontId="10" fillId="33" borderId="19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4" fillId="33" borderId="51" xfId="0" applyFont="1" applyFill="1" applyBorder="1" applyAlignment="1" applyProtection="1">
      <alignment/>
      <protection locked="0"/>
    </xf>
    <xf numFmtId="0" fontId="4" fillId="33" borderId="41" xfId="0" applyFont="1" applyFill="1" applyBorder="1" applyAlignment="1">
      <alignment/>
    </xf>
    <xf numFmtId="180" fontId="2" fillId="21" borderId="53" xfId="0" applyNumberFormat="1" applyFont="1" applyFill="1" applyBorder="1" applyAlignment="1" applyProtection="1">
      <alignment/>
      <protection locked="0"/>
    </xf>
    <xf numFmtId="0" fontId="2" fillId="33" borderId="53" xfId="0" applyFont="1" applyFill="1" applyBorder="1" applyAlignment="1" applyProtection="1">
      <alignment/>
      <protection locked="0"/>
    </xf>
    <xf numFmtId="180" fontId="2" fillId="33" borderId="54" xfId="0" applyNumberFormat="1" applyFont="1" applyFill="1" applyBorder="1" applyAlignment="1">
      <alignment/>
    </xf>
    <xf numFmtId="180" fontId="2" fillId="21" borderId="53" xfId="0" applyNumberFormat="1" applyFont="1" applyFill="1" applyBorder="1" applyAlignment="1">
      <alignment horizontal="center"/>
    </xf>
    <xf numFmtId="180" fontId="2" fillId="33" borderId="53" xfId="0" applyNumberFormat="1" applyFont="1" applyFill="1" applyBorder="1" applyAlignment="1">
      <alignment horizontal="center"/>
    </xf>
    <xf numFmtId="180" fontId="2" fillId="33" borderId="54" xfId="0" applyNumberFormat="1" applyFont="1" applyFill="1" applyBorder="1" applyAlignment="1">
      <alignment horizontal="center"/>
    </xf>
    <xf numFmtId="180" fontId="4" fillId="33" borderId="31" xfId="0" applyNumberFormat="1" applyFont="1" applyFill="1" applyBorder="1" applyAlignment="1">
      <alignment horizontal="center"/>
    </xf>
    <xf numFmtId="0" fontId="4" fillId="33" borderId="43" xfId="0" applyFont="1" applyFill="1" applyBorder="1" applyAlignment="1">
      <alignment/>
    </xf>
    <xf numFmtId="0" fontId="4" fillId="33" borderId="55" xfId="0" applyFont="1" applyFill="1" applyBorder="1" applyAlignment="1">
      <alignment/>
    </xf>
    <xf numFmtId="180" fontId="2" fillId="33" borderId="14" xfId="0" applyNumberFormat="1" applyFont="1" applyFill="1" applyBorder="1" applyAlignment="1">
      <alignment horizontal="right"/>
    </xf>
    <xf numFmtId="180" fontId="2" fillId="33" borderId="15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10" fillId="33" borderId="19" xfId="0" applyFont="1" applyFill="1" applyBorder="1" applyAlignment="1" applyProtection="1">
      <alignment horizontal="center"/>
      <protection locked="0"/>
    </xf>
    <xf numFmtId="0" fontId="10" fillId="33" borderId="19" xfId="0" applyFont="1" applyFill="1" applyBorder="1" applyAlignment="1">
      <alignment horizontal="right"/>
    </xf>
    <xf numFmtId="2" fontId="10" fillId="33" borderId="19" xfId="0" applyNumberFormat="1" applyFont="1" applyFill="1" applyBorder="1" applyAlignment="1">
      <alignment horizontal="center"/>
    </xf>
    <xf numFmtId="2" fontId="4" fillId="33" borderId="55" xfId="0" applyNumberFormat="1" applyFont="1" applyFill="1" applyBorder="1" applyAlignment="1">
      <alignment/>
    </xf>
    <xf numFmtId="0" fontId="2" fillId="33" borderId="42" xfId="0" applyFont="1" applyFill="1" applyBorder="1" applyAlignment="1">
      <alignment horizontal="right"/>
    </xf>
    <xf numFmtId="180" fontId="2" fillId="33" borderId="28" xfId="0" applyNumberFormat="1" applyFont="1" applyFill="1" applyBorder="1" applyAlignment="1">
      <alignment horizontal="right"/>
    </xf>
    <xf numFmtId="0" fontId="2" fillId="33" borderId="50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180" fontId="2" fillId="33" borderId="0" xfId="0" applyNumberFormat="1" applyFont="1" applyFill="1" applyBorder="1" applyAlignment="1">
      <alignment horizontal="right"/>
    </xf>
  </cellXfs>
  <cellStyles count="49">
    <cellStyle name="Normal" xfId="0"/>
    <cellStyle name="60% — Акцент6" xfId="15"/>
    <cellStyle name="40% — Акцент6" xfId="16"/>
    <cellStyle name="Акцент4" xfId="17"/>
    <cellStyle name="20% — Акцент6" xfId="18"/>
    <cellStyle name="Hyperlink" xfId="19"/>
    <cellStyle name="40% — Акцент5" xfId="20"/>
    <cellStyle name="Акцент3" xfId="21"/>
    <cellStyle name="20% — Акцент5" xfId="22"/>
    <cellStyle name="Акцент2" xfId="23"/>
    <cellStyle name="20% — Акцент4" xfId="24"/>
    <cellStyle name="Акцент1" xfId="25"/>
    <cellStyle name="20% — Акцент3" xfId="26"/>
    <cellStyle name="Заголовок 1" xfId="27"/>
    <cellStyle name="Currency" xfId="28"/>
    <cellStyle name="60% — Акцент2" xfId="29"/>
    <cellStyle name="Ввод" xfId="30"/>
    <cellStyle name="Акцент6" xfId="31"/>
    <cellStyle name="Percent" xfId="32"/>
    <cellStyle name="40% — Акцент2" xfId="33"/>
    <cellStyle name="20% — Акцент2" xfId="34"/>
    <cellStyle name="Comma" xfId="35"/>
    <cellStyle name="Акцент5" xfId="36"/>
    <cellStyle name="Нейтральный" xfId="37"/>
    <cellStyle name="40% — Акцент1" xfId="38"/>
    <cellStyle name="20% — Акцент1" xfId="39"/>
    <cellStyle name="Followed Hyperlink" xfId="40"/>
    <cellStyle name="Связанная ячейка" xfId="41"/>
    <cellStyle name="Проверить ячейку" xfId="42"/>
    <cellStyle name="60% — Акцент5" xfId="43"/>
    <cellStyle name="Заголовок 4" xfId="44"/>
    <cellStyle name="Заголовок 3" xfId="45"/>
    <cellStyle name="60% — Акцент4" xfId="46"/>
    <cellStyle name="Плохой" xfId="47"/>
    <cellStyle name="Вычисление" xfId="48"/>
    <cellStyle name="Пояснительный текст" xfId="49"/>
    <cellStyle name="Currency [0]" xfId="50"/>
    <cellStyle name="40% — Акцент3" xfId="51"/>
    <cellStyle name="Заголовок" xfId="52"/>
    <cellStyle name="Предупреждающий текст" xfId="53"/>
    <cellStyle name="Примечание" xfId="54"/>
    <cellStyle name="Итого" xfId="55"/>
    <cellStyle name="Заголовок 2" xfId="56"/>
    <cellStyle name="60% — Акцент3" xfId="57"/>
    <cellStyle name="Comma [0]" xfId="58"/>
    <cellStyle name="60% — Акцент1" xfId="59"/>
    <cellStyle name="Хороший" xfId="60"/>
    <cellStyle name="40% — Акцент4" xfId="61"/>
    <cellStyle name="Вывод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212121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7"/>
  <sheetViews>
    <sheetView tabSelected="1" view="pageBreakPreview" zoomScaleSheetLayoutView="100" workbookViewId="0" topLeftCell="A1">
      <selection activeCell="F4" sqref="F4"/>
    </sheetView>
  </sheetViews>
  <sheetFormatPr defaultColWidth="9.125" defaultRowHeight="12.75"/>
  <cols>
    <col min="1" max="1" width="5.875" style="4" customWidth="1"/>
    <col min="2" max="2" width="7.625" style="5" customWidth="1"/>
    <col min="3" max="3" width="5.625" style="4" customWidth="1"/>
    <col min="4" max="4" width="13.625" style="4" customWidth="1"/>
    <col min="5" max="5" width="6.75390625" style="4" customWidth="1"/>
    <col min="6" max="6" width="6.25390625" style="4" customWidth="1"/>
    <col min="7" max="7" width="6.75390625" style="4" customWidth="1"/>
    <col min="8" max="8" width="5.125" style="4" customWidth="1"/>
    <col min="9" max="9" width="4.875" style="4" customWidth="1"/>
    <col min="10" max="10" width="5.00390625" style="4" customWidth="1"/>
    <col min="11" max="11" width="4.625" style="4" customWidth="1"/>
    <col min="12" max="12" width="6.625" style="4" customWidth="1"/>
    <col min="13" max="13" width="6.75390625" style="4" customWidth="1"/>
    <col min="14" max="14" width="9.25390625" style="6" customWidth="1"/>
    <col min="15" max="16" width="9.875" style="6" customWidth="1"/>
    <col min="17" max="17" width="11.375" style="4" customWidth="1"/>
    <col min="18" max="18" width="10.00390625" style="4" customWidth="1"/>
    <col min="19" max="26" width="9.125" style="4" customWidth="1"/>
    <col min="27" max="27" width="10.375" style="4" customWidth="1"/>
    <col min="28" max="28" width="13.125" style="4" customWidth="1"/>
    <col min="29" max="29" width="9.875" style="4" customWidth="1"/>
    <col min="30" max="16384" width="9.125" style="4" customWidth="1"/>
  </cols>
  <sheetData>
    <row r="1" spans="1:28" ht="15.75">
      <c r="A1" s="7"/>
      <c r="B1" s="8"/>
      <c r="C1" s="7"/>
      <c r="D1" s="7"/>
      <c r="E1" s="7"/>
      <c r="F1" s="7"/>
      <c r="G1" s="7"/>
      <c r="H1" s="7"/>
      <c r="I1" s="7"/>
      <c r="J1" s="41"/>
      <c r="K1" s="42"/>
      <c r="L1" s="43"/>
      <c r="M1" s="43"/>
      <c r="N1" s="43"/>
      <c r="O1" s="51"/>
      <c r="P1" s="51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5.75">
      <c r="A2" s="7"/>
      <c r="B2" s="8"/>
      <c r="C2" s="7"/>
      <c r="D2" s="7"/>
      <c r="E2" s="7"/>
      <c r="F2" s="9" t="s">
        <v>0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7"/>
      <c r="W2" s="7"/>
      <c r="X2" s="7"/>
      <c r="Y2" s="7"/>
      <c r="Z2" s="7"/>
      <c r="AA2" s="7"/>
      <c r="AB2" s="7"/>
    </row>
    <row r="3" spans="1:28" ht="15.75">
      <c r="A3" s="7"/>
      <c r="B3" s="8"/>
      <c r="C3" s="7"/>
      <c r="D3" s="7"/>
      <c r="E3" s="7"/>
      <c r="F3" s="9" t="s">
        <v>1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7"/>
      <c r="W3" s="7"/>
      <c r="X3" s="7"/>
      <c r="Y3" s="7"/>
      <c r="Z3" s="7"/>
      <c r="AA3" s="7"/>
      <c r="AB3" s="7"/>
    </row>
    <row r="4" spans="1:28" ht="15.75">
      <c r="A4" s="7"/>
      <c r="B4" s="8"/>
      <c r="C4" s="7"/>
      <c r="D4" s="7"/>
      <c r="E4" s="7"/>
      <c r="F4" s="7"/>
      <c r="G4" s="7"/>
      <c r="H4" s="7"/>
      <c r="I4" s="7"/>
      <c r="J4" s="42"/>
      <c r="K4" s="42"/>
      <c r="L4" s="42"/>
      <c r="M4" s="42"/>
      <c r="N4" s="43"/>
      <c r="O4" s="7"/>
      <c r="P4" s="7"/>
      <c r="Q4" s="51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21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7"/>
      <c r="S5" s="94"/>
      <c r="T5" s="94"/>
      <c r="U5" s="94"/>
      <c r="V5" s="94"/>
      <c r="W5" s="94"/>
      <c r="X5" s="94"/>
      <c r="Y5" s="94"/>
      <c r="Z5" s="94"/>
      <c r="AA5" s="94"/>
      <c r="AB5" s="94"/>
    </row>
    <row r="6" spans="1:28" ht="13.5" customHeight="1">
      <c r="A6" s="10" t="s">
        <v>2</v>
      </c>
      <c r="B6" s="11" t="s">
        <v>3</v>
      </c>
      <c r="C6" s="11" t="s">
        <v>4</v>
      </c>
      <c r="D6" s="10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44" t="s">
        <v>13</v>
      </c>
      <c r="M6" s="44" t="s">
        <v>14</v>
      </c>
      <c r="N6" s="52" t="s">
        <v>15</v>
      </c>
      <c r="O6" s="53" t="s">
        <v>16</v>
      </c>
      <c r="P6" s="54"/>
      <c r="Q6" s="95" t="s">
        <v>17</v>
      </c>
      <c r="R6" s="95"/>
      <c r="S6" s="95"/>
      <c r="T6" s="95"/>
      <c r="U6" s="95"/>
      <c r="V6" s="95"/>
      <c r="W6" s="96"/>
      <c r="X6" s="116" t="s">
        <v>18</v>
      </c>
      <c r="Y6" s="116" t="s">
        <v>19</v>
      </c>
      <c r="Z6" s="116" t="s">
        <v>20</v>
      </c>
      <c r="AA6" s="128" t="s">
        <v>21</v>
      </c>
      <c r="AB6" s="129"/>
    </row>
    <row r="7" spans="1:28" ht="22.5" customHeight="1">
      <c r="A7" s="12"/>
      <c r="B7" s="13"/>
      <c r="C7" s="13" t="s">
        <v>22</v>
      </c>
      <c r="D7" s="12"/>
      <c r="E7" s="13"/>
      <c r="F7" s="13"/>
      <c r="G7" s="13"/>
      <c r="H7" s="13"/>
      <c r="I7" s="13"/>
      <c r="J7" s="13"/>
      <c r="K7" s="13"/>
      <c r="L7" s="45"/>
      <c r="M7" s="45"/>
      <c r="N7" s="55"/>
      <c r="O7" s="56"/>
      <c r="P7" s="57"/>
      <c r="Q7" s="95" t="s">
        <v>23</v>
      </c>
      <c r="R7" s="96"/>
      <c r="S7" s="97" t="s">
        <v>24</v>
      </c>
      <c r="T7" s="96"/>
      <c r="U7" s="117" t="s">
        <v>25</v>
      </c>
      <c r="V7" s="116" t="s">
        <v>26</v>
      </c>
      <c r="W7" s="116" t="s">
        <v>27</v>
      </c>
      <c r="X7" s="118"/>
      <c r="Y7" s="118"/>
      <c r="Z7" s="118"/>
      <c r="AA7" s="130"/>
      <c r="AB7" s="131"/>
    </row>
    <row r="8" spans="1:28" ht="58.5" customHeight="1">
      <c r="A8" s="14"/>
      <c r="B8" s="15"/>
      <c r="C8" s="15" t="s">
        <v>28</v>
      </c>
      <c r="D8" s="14"/>
      <c r="E8" s="15"/>
      <c r="F8" s="15"/>
      <c r="G8" s="15"/>
      <c r="H8" s="15"/>
      <c r="I8" s="15"/>
      <c r="J8" s="15"/>
      <c r="K8" s="15"/>
      <c r="L8" s="46" t="s">
        <v>29</v>
      </c>
      <c r="M8" s="11" t="s">
        <v>30</v>
      </c>
      <c r="N8" s="58"/>
      <c r="O8" s="59" t="s">
        <v>31</v>
      </c>
      <c r="P8" s="59" t="s">
        <v>32</v>
      </c>
      <c r="Q8" s="98" t="s">
        <v>31</v>
      </c>
      <c r="R8" s="99" t="s">
        <v>32</v>
      </c>
      <c r="S8" s="98" t="s">
        <v>31</v>
      </c>
      <c r="T8" s="99" t="s">
        <v>32</v>
      </c>
      <c r="U8" s="99" t="s">
        <v>31</v>
      </c>
      <c r="V8" s="119"/>
      <c r="W8" s="119"/>
      <c r="X8" s="119"/>
      <c r="Y8" s="119"/>
      <c r="Z8" s="119"/>
      <c r="AA8" s="132" t="s">
        <v>33</v>
      </c>
      <c r="AB8" s="133" t="s">
        <v>34</v>
      </c>
    </row>
    <row r="9" spans="1:28" ht="12.75">
      <c r="A9" s="16">
        <v>1</v>
      </c>
      <c r="B9" s="16">
        <v>2</v>
      </c>
      <c r="C9" s="16">
        <v>3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60">
        <v>13</v>
      </c>
      <c r="O9" s="16">
        <v>14</v>
      </c>
      <c r="P9" s="16">
        <v>15</v>
      </c>
      <c r="Q9" s="16">
        <v>19</v>
      </c>
      <c r="R9" s="16">
        <v>20</v>
      </c>
      <c r="S9" s="96">
        <v>21</v>
      </c>
      <c r="T9" s="97">
        <v>22</v>
      </c>
      <c r="U9" s="16">
        <v>23</v>
      </c>
      <c r="V9" s="95">
        <v>24</v>
      </c>
      <c r="W9" s="16">
        <v>25</v>
      </c>
      <c r="X9" s="95">
        <v>26</v>
      </c>
      <c r="Y9" s="16">
        <v>27</v>
      </c>
      <c r="Z9" s="96">
        <v>28</v>
      </c>
      <c r="AA9" s="96">
        <v>29</v>
      </c>
      <c r="AB9" s="96">
        <v>30</v>
      </c>
    </row>
    <row r="10" spans="1:28" ht="12.75">
      <c r="A10" s="17"/>
      <c r="B10" s="18"/>
      <c r="C10" s="18"/>
      <c r="D10" s="19" t="s">
        <v>35</v>
      </c>
      <c r="E10" s="18"/>
      <c r="F10" s="18"/>
      <c r="G10" s="18"/>
      <c r="H10" s="18"/>
      <c r="I10" s="18"/>
      <c r="J10" s="18"/>
      <c r="K10" s="18"/>
      <c r="L10" s="18"/>
      <c r="M10" s="18"/>
      <c r="N10" s="61"/>
      <c r="O10" s="62"/>
      <c r="P10" s="63" t="s">
        <v>36</v>
      </c>
      <c r="Q10" s="100"/>
      <c r="R10" s="101"/>
      <c r="S10" s="38"/>
      <c r="T10" s="38"/>
      <c r="U10" s="120"/>
      <c r="V10" s="121"/>
      <c r="W10" s="121"/>
      <c r="X10" s="121"/>
      <c r="Y10" s="121"/>
      <c r="Z10" s="121"/>
      <c r="AA10" s="134"/>
      <c r="AB10" s="135"/>
    </row>
    <row r="11" spans="1:28" ht="12.75">
      <c r="A11" s="20">
        <v>1</v>
      </c>
      <c r="B11" s="21">
        <v>1981</v>
      </c>
      <c r="C11" s="21" t="s">
        <v>37</v>
      </c>
      <c r="D11" s="22" t="s">
        <v>38</v>
      </c>
      <c r="E11" s="37">
        <v>15</v>
      </c>
      <c r="F11" s="37" t="s">
        <v>39</v>
      </c>
      <c r="G11" s="37">
        <v>8</v>
      </c>
      <c r="H11" s="38">
        <v>5</v>
      </c>
      <c r="I11" s="38">
        <v>1</v>
      </c>
      <c r="J11" s="38">
        <v>6</v>
      </c>
      <c r="K11" s="38"/>
      <c r="L11" s="38">
        <v>84</v>
      </c>
      <c r="M11" s="21">
        <v>244</v>
      </c>
      <c r="N11" s="64">
        <f aca="true" t="shared" si="0" ref="N11:N21">O11+Q11+S11+U11+V11+W11</f>
        <v>4735</v>
      </c>
      <c r="O11" s="65">
        <v>4004.5</v>
      </c>
      <c r="P11" s="66">
        <f>2824.4+3.6-T11+0.4</f>
        <v>2828.4</v>
      </c>
      <c r="Q11" s="102"/>
      <c r="R11" s="35"/>
      <c r="S11" s="103">
        <v>151.7</v>
      </c>
      <c r="T11" s="35"/>
      <c r="U11" s="28">
        <v>162.8</v>
      </c>
      <c r="V11" s="109">
        <f>11.1+11.2+11.1+11.2+11.1+11.1+83.4+83.4+83.4+83.4</f>
        <v>400.4</v>
      </c>
      <c r="W11" s="109">
        <f>416-V11</f>
        <v>15.600000000000023</v>
      </c>
      <c r="X11" s="122">
        <f>V11*1.3</f>
        <v>520.52</v>
      </c>
      <c r="Y11" s="122">
        <f aca="true" t="shared" si="1" ref="Y11:Y21">X11/H11*3+W11</f>
        <v>327.91200000000003</v>
      </c>
      <c r="Z11" s="122">
        <f>W11+X11-Y11</f>
        <v>208.20799999999997</v>
      </c>
      <c r="AA11" s="136">
        <v>94.8</v>
      </c>
      <c r="AB11" s="137"/>
    </row>
    <row r="12" spans="1:28" ht="12.75">
      <c r="A12" s="23">
        <v>2</v>
      </c>
      <c r="B12" s="24">
        <v>1980</v>
      </c>
      <c r="C12" s="25" t="s">
        <v>37</v>
      </c>
      <c r="D12" s="26" t="s">
        <v>38</v>
      </c>
      <c r="E12" s="30">
        <v>19</v>
      </c>
      <c r="F12" s="30" t="s">
        <v>39</v>
      </c>
      <c r="G12" s="30">
        <v>8</v>
      </c>
      <c r="H12" s="25">
        <v>5</v>
      </c>
      <c r="I12" s="25">
        <v>1</v>
      </c>
      <c r="J12" s="25">
        <v>6</v>
      </c>
      <c r="K12" s="25"/>
      <c r="L12" s="25">
        <v>87</v>
      </c>
      <c r="M12" s="24">
        <v>254</v>
      </c>
      <c r="N12" s="67">
        <f t="shared" si="0"/>
        <v>4759.099999999999</v>
      </c>
      <c r="O12" s="68">
        <v>4179.3</v>
      </c>
      <c r="P12" s="69">
        <f>2873.6-3.2+0.2-3.3-0.1-2.8-3.4-0.2+1.4+0.3</f>
        <v>2862.5</v>
      </c>
      <c r="Q12" s="104"/>
      <c r="R12" s="35"/>
      <c r="S12" s="35">
        <v>60.4</v>
      </c>
      <c r="T12" s="35"/>
      <c r="U12" s="35">
        <f>71.7+32.7</f>
        <v>104.4</v>
      </c>
      <c r="V12" s="109">
        <f>10.9+11+11.1+11.1+10.9+11.1+82.6+82.6+82.5+82.6</f>
        <v>396.4</v>
      </c>
      <c r="W12" s="109">
        <f>415-V12</f>
        <v>18.600000000000023</v>
      </c>
      <c r="X12" s="122">
        <f aca="true" t="shared" si="2" ref="X12:X21">V12*1.3</f>
        <v>515.3199999999999</v>
      </c>
      <c r="Y12" s="122">
        <f t="shared" si="1"/>
        <v>327.79200000000003</v>
      </c>
      <c r="Z12" s="122">
        <f aca="true" t="shared" si="3" ref="Z12:Z21">W12+X12-Y12</f>
        <v>206.12799999999993</v>
      </c>
      <c r="AA12" s="136">
        <v>96</v>
      </c>
      <c r="AB12" s="137"/>
    </row>
    <row r="13" spans="1:28" ht="12.75">
      <c r="A13" s="23">
        <v>3</v>
      </c>
      <c r="B13" s="24">
        <v>1980</v>
      </c>
      <c r="C13" s="25" t="s">
        <v>40</v>
      </c>
      <c r="D13" s="26" t="s">
        <v>41</v>
      </c>
      <c r="E13" s="30">
        <v>22</v>
      </c>
      <c r="F13" s="30" t="s">
        <v>39</v>
      </c>
      <c r="G13" s="30">
        <v>8</v>
      </c>
      <c r="H13" s="25">
        <v>5</v>
      </c>
      <c r="I13" s="25">
        <v>1</v>
      </c>
      <c r="J13" s="25">
        <v>6</v>
      </c>
      <c r="K13" s="25"/>
      <c r="L13" s="25">
        <v>90</v>
      </c>
      <c r="M13" s="24">
        <v>236</v>
      </c>
      <c r="N13" s="67">
        <f t="shared" si="0"/>
        <v>4951.5</v>
      </c>
      <c r="O13" s="68">
        <v>4449.8</v>
      </c>
      <c r="P13" s="70">
        <v>2572.2</v>
      </c>
      <c r="Q13" s="104"/>
      <c r="R13" s="35"/>
      <c r="S13" s="35"/>
      <c r="T13" s="35"/>
      <c r="U13" s="35"/>
      <c r="V13" s="109">
        <f>14+14.1+14+14+14.1+15.6+84.2+84.2+84.2+93.8</f>
        <v>432.2</v>
      </c>
      <c r="W13" s="109">
        <f>501.7-V13</f>
        <v>69.5</v>
      </c>
      <c r="X13" s="122">
        <f t="shared" si="2"/>
        <v>561.86</v>
      </c>
      <c r="Y13" s="122">
        <f t="shared" si="1"/>
        <v>406.616</v>
      </c>
      <c r="Z13" s="122">
        <f t="shared" si="3"/>
        <v>224.74400000000003</v>
      </c>
      <c r="AA13" s="136">
        <v>86.4</v>
      </c>
      <c r="AB13" s="137"/>
    </row>
    <row r="14" spans="1:28" ht="12.75">
      <c r="A14" s="27">
        <v>4</v>
      </c>
      <c r="B14" s="24">
        <v>1982</v>
      </c>
      <c r="C14" s="24" t="s">
        <v>40</v>
      </c>
      <c r="D14" s="26" t="s">
        <v>41</v>
      </c>
      <c r="E14" s="30">
        <v>26</v>
      </c>
      <c r="F14" s="30" t="s">
        <v>39</v>
      </c>
      <c r="G14" s="30">
        <v>8</v>
      </c>
      <c r="H14" s="25">
        <v>5</v>
      </c>
      <c r="I14" s="25">
        <v>1</v>
      </c>
      <c r="J14" s="25">
        <v>8</v>
      </c>
      <c r="K14" s="25"/>
      <c r="L14" s="25">
        <v>120</v>
      </c>
      <c r="M14" s="24">
        <v>331</v>
      </c>
      <c r="N14" s="67">
        <f t="shared" si="0"/>
        <v>6597.9</v>
      </c>
      <c r="O14" s="68">
        <v>5954.1</v>
      </c>
      <c r="P14" s="69">
        <f>3429.6-0.5+0.2</f>
        <v>3429.2999999999997</v>
      </c>
      <c r="Q14" s="104"/>
      <c r="R14" s="35"/>
      <c r="S14" s="35"/>
      <c r="T14" s="35"/>
      <c r="U14" s="35"/>
      <c r="V14" s="109">
        <f>12.7+12.8+12.8+12.9+12.8+12.8+12.8+12.6+112.8+112.8+112.8+112.8</f>
        <v>553.4</v>
      </c>
      <c r="W14" s="109">
        <f>643.8-V14</f>
        <v>90.39999999999998</v>
      </c>
      <c r="X14" s="122">
        <f t="shared" si="2"/>
        <v>719.42</v>
      </c>
      <c r="Y14" s="122">
        <f t="shared" si="1"/>
        <v>522.0519999999999</v>
      </c>
      <c r="Z14" s="122">
        <f t="shared" si="3"/>
        <v>287.76800000000003</v>
      </c>
      <c r="AA14" s="136">
        <v>115.2</v>
      </c>
      <c r="AB14" s="137"/>
    </row>
    <row r="15" spans="1:28" ht="12.75">
      <c r="A15" s="23">
        <v>5</v>
      </c>
      <c r="B15" s="24">
        <v>1981</v>
      </c>
      <c r="C15" s="24">
        <v>1982</v>
      </c>
      <c r="D15" s="26" t="s">
        <v>42</v>
      </c>
      <c r="E15" s="30" t="s">
        <v>43</v>
      </c>
      <c r="F15" s="30" t="s">
        <v>39</v>
      </c>
      <c r="G15" s="30">
        <v>8</v>
      </c>
      <c r="H15" s="25">
        <v>5</v>
      </c>
      <c r="I15" s="25">
        <v>1</v>
      </c>
      <c r="J15" s="25">
        <v>6</v>
      </c>
      <c r="K15" s="25"/>
      <c r="L15" s="25">
        <v>90</v>
      </c>
      <c r="M15" s="24">
        <v>220</v>
      </c>
      <c r="N15" s="67">
        <f t="shared" si="0"/>
        <v>4942.1</v>
      </c>
      <c r="O15" s="68">
        <v>4447.6</v>
      </c>
      <c r="P15" s="69">
        <v>2543.2</v>
      </c>
      <c r="Q15" s="104"/>
      <c r="R15" s="35"/>
      <c r="S15" s="35"/>
      <c r="T15" s="35"/>
      <c r="U15" s="35"/>
      <c r="V15" s="109">
        <f>14.2+14.2+14+14.2+14.1+14.4+85.1+85.1+85.1+85.1</f>
        <v>425.5</v>
      </c>
      <c r="W15" s="123">
        <f>494.5-V15</f>
        <v>69</v>
      </c>
      <c r="X15" s="122">
        <f t="shared" si="2"/>
        <v>553.15</v>
      </c>
      <c r="Y15" s="122">
        <f t="shared" si="1"/>
        <v>400.89</v>
      </c>
      <c r="Z15" s="122">
        <f t="shared" si="3"/>
        <v>221.26</v>
      </c>
      <c r="AA15" s="136">
        <v>86.4</v>
      </c>
      <c r="AB15" s="137"/>
    </row>
    <row r="16" spans="1:28" ht="11.25" customHeight="1">
      <c r="A16" s="23">
        <v>6</v>
      </c>
      <c r="B16" s="24">
        <v>1983</v>
      </c>
      <c r="C16" s="24">
        <v>1982</v>
      </c>
      <c r="D16" s="28" t="s">
        <v>42</v>
      </c>
      <c r="E16" s="30" t="s">
        <v>44</v>
      </c>
      <c r="F16" s="30" t="s">
        <v>39</v>
      </c>
      <c r="G16" s="30">
        <v>8</v>
      </c>
      <c r="H16" s="25">
        <v>5</v>
      </c>
      <c r="I16" s="25">
        <v>1</v>
      </c>
      <c r="J16" s="25">
        <v>6</v>
      </c>
      <c r="K16" s="25"/>
      <c r="L16" s="25">
        <v>90</v>
      </c>
      <c r="M16" s="24">
        <v>267</v>
      </c>
      <c r="N16" s="67">
        <f t="shared" si="0"/>
        <v>4957.900000000001</v>
      </c>
      <c r="O16" s="68">
        <v>4426</v>
      </c>
      <c r="P16" s="70">
        <f>2569.9-0.1-0.4+0</f>
        <v>2569.4</v>
      </c>
      <c r="Q16" s="104"/>
      <c r="R16" s="35"/>
      <c r="S16" s="35"/>
      <c r="T16" s="35"/>
      <c r="U16" s="35"/>
      <c r="V16" s="109">
        <f>14.2+14.3+14.3+14.2+14.3+14.4+94.1+94.1+94.1+94.1</f>
        <v>462.1</v>
      </c>
      <c r="W16" s="109">
        <f>531.9-V16</f>
        <v>69.79999999999995</v>
      </c>
      <c r="X16" s="122">
        <f t="shared" si="2"/>
        <v>600.73</v>
      </c>
      <c r="Y16" s="122">
        <f t="shared" si="1"/>
        <v>430.23799999999994</v>
      </c>
      <c r="Z16" s="122">
        <f t="shared" si="3"/>
        <v>240.29200000000003</v>
      </c>
      <c r="AA16" s="136">
        <v>86.4</v>
      </c>
      <c r="AB16" s="137"/>
    </row>
    <row r="17" spans="1:28" ht="12.75">
      <c r="A17" s="27">
        <v>7</v>
      </c>
      <c r="B17" s="24">
        <v>1981</v>
      </c>
      <c r="C17" s="25" t="s">
        <v>40</v>
      </c>
      <c r="D17" s="26" t="s">
        <v>45</v>
      </c>
      <c r="E17" s="30">
        <v>71</v>
      </c>
      <c r="F17" s="30" t="s">
        <v>39</v>
      </c>
      <c r="G17" s="30">
        <v>8</v>
      </c>
      <c r="H17" s="25">
        <v>5</v>
      </c>
      <c r="I17" s="25">
        <v>1</v>
      </c>
      <c r="J17" s="25">
        <v>6</v>
      </c>
      <c r="K17" s="25"/>
      <c r="L17" s="25">
        <v>90</v>
      </c>
      <c r="M17" s="24">
        <v>239</v>
      </c>
      <c r="N17" s="67">
        <f t="shared" si="0"/>
        <v>4950.8</v>
      </c>
      <c r="O17" s="68">
        <v>4459.3</v>
      </c>
      <c r="P17" s="70">
        <f>2564.6+0.1+3.1</f>
        <v>2567.7999999999997</v>
      </c>
      <c r="Q17" s="104"/>
      <c r="R17" s="35"/>
      <c r="S17" s="35"/>
      <c r="T17" s="35"/>
      <c r="U17" s="35"/>
      <c r="V17" s="109">
        <f>12.7+12.9+12.8+12.8+12.9+12.8+85.6+85.6+85.6+85.6</f>
        <v>419.29999999999995</v>
      </c>
      <c r="W17" s="109">
        <f>491.5-V17</f>
        <v>72.20000000000005</v>
      </c>
      <c r="X17" s="122">
        <f t="shared" si="2"/>
        <v>545.0899999999999</v>
      </c>
      <c r="Y17" s="122">
        <f t="shared" si="1"/>
        <v>399.254</v>
      </c>
      <c r="Z17" s="122">
        <f t="shared" si="3"/>
        <v>218.03599999999994</v>
      </c>
      <c r="AA17" s="136">
        <v>86.4</v>
      </c>
      <c r="AB17" s="137"/>
    </row>
    <row r="18" spans="1:28" ht="12.75">
      <c r="A18" s="23">
        <v>8</v>
      </c>
      <c r="B18" s="24">
        <v>1981</v>
      </c>
      <c r="C18" s="24" t="s">
        <v>40</v>
      </c>
      <c r="D18" s="26" t="s">
        <v>45</v>
      </c>
      <c r="E18" s="30">
        <v>73</v>
      </c>
      <c r="F18" s="30" t="s">
        <v>39</v>
      </c>
      <c r="G18" s="30">
        <v>8</v>
      </c>
      <c r="H18" s="25">
        <v>5</v>
      </c>
      <c r="I18" s="25">
        <v>1</v>
      </c>
      <c r="J18" s="25">
        <v>6</v>
      </c>
      <c r="K18" s="25"/>
      <c r="L18" s="25">
        <v>89</v>
      </c>
      <c r="M18" s="24">
        <v>227</v>
      </c>
      <c r="N18" s="67">
        <f t="shared" si="0"/>
        <v>4940.81</v>
      </c>
      <c r="O18" s="68">
        <v>4411.31</v>
      </c>
      <c r="P18" s="70">
        <f>2579.3-0.3-R18+0.4</f>
        <v>2550.4</v>
      </c>
      <c r="Q18" s="105">
        <f>48.4</f>
        <v>48.4</v>
      </c>
      <c r="R18" s="25">
        <v>29</v>
      </c>
      <c r="S18" s="35"/>
      <c r="T18" s="35"/>
      <c r="U18" s="35"/>
      <c r="V18" s="109">
        <f>12.5+12.3+12.4+12.4+12.5+12.7+83.3+83.3+83.3+83.3</f>
        <v>408</v>
      </c>
      <c r="W18" s="109">
        <f>481.1-V18</f>
        <v>73.10000000000002</v>
      </c>
      <c r="X18" s="122">
        <f t="shared" si="2"/>
        <v>530.4</v>
      </c>
      <c r="Y18" s="122">
        <f t="shared" si="1"/>
        <v>391.34000000000003</v>
      </c>
      <c r="Z18" s="122">
        <f t="shared" si="3"/>
        <v>212.15999999999997</v>
      </c>
      <c r="AA18" s="136">
        <v>85.2</v>
      </c>
      <c r="AB18" s="137"/>
    </row>
    <row r="19" spans="1:28" ht="12.75">
      <c r="A19" s="23">
        <v>9</v>
      </c>
      <c r="B19" s="24">
        <v>1982</v>
      </c>
      <c r="C19" s="25" t="s">
        <v>46</v>
      </c>
      <c r="D19" s="26" t="s">
        <v>45</v>
      </c>
      <c r="E19" s="30">
        <v>75</v>
      </c>
      <c r="F19" s="30" t="s">
        <v>39</v>
      </c>
      <c r="G19" s="30">
        <v>8</v>
      </c>
      <c r="H19" s="25">
        <v>5</v>
      </c>
      <c r="I19" s="25">
        <v>1</v>
      </c>
      <c r="J19" s="25">
        <v>6</v>
      </c>
      <c r="K19" s="25"/>
      <c r="L19" s="25">
        <v>90</v>
      </c>
      <c r="M19" s="24">
        <v>241</v>
      </c>
      <c r="N19" s="67">
        <f t="shared" si="0"/>
        <v>4949</v>
      </c>
      <c r="O19" s="68">
        <v>4453.5</v>
      </c>
      <c r="P19" s="70">
        <f>2584.7+2.3</f>
        <v>2587</v>
      </c>
      <c r="Q19" s="104"/>
      <c r="R19" s="35"/>
      <c r="S19" s="35"/>
      <c r="T19" s="35"/>
      <c r="U19" s="35"/>
      <c r="V19" s="109">
        <f>13.1+13+13.2+13.2+13.2+13.2+87.3+87.3+87.3+87.3</f>
        <v>428.1</v>
      </c>
      <c r="W19" s="109">
        <f>495.5-V19</f>
        <v>67.39999999999998</v>
      </c>
      <c r="X19" s="122">
        <f t="shared" si="2"/>
        <v>556.5300000000001</v>
      </c>
      <c r="Y19" s="122">
        <f t="shared" si="1"/>
        <v>401.318</v>
      </c>
      <c r="Z19" s="122">
        <f t="shared" si="3"/>
        <v>222.61200000000008</v>
      </c>
      <c r="AA19" s="136">
        <v>85.2</v>
      </c>
      <c r="AB19" s="137"/>
    </row>
    <row r="20" spans="1:28" ht="12.75">
      <c r="A20" s="27">
        <v>10</v>
      </c>
      <c r="B20" s="24">
        <v>1981</v>
      </c>
      <c r="C20" s="24" t="s">
        <v>40</v>
      </c>
      <c r="D20" s="26" t="s">
        <v>45</v>
      </c>
      <c r="E20" s="30">
        <v>77</v>
      </c>
      <c r="F20" s="30" t="s">
        <v>39</v>
      </c>
      <c r="G20" s="30">
        <v>8</v>
      </c>
      <c r="H20" s="25">
        <v>5</v>
      </c>
      <c r="I20" s="25">
        <v>1</v>
      </c>
      <c r="J20" s="25">
        <v>8</v>
      </c>
      <c r="K20" s="25"/>
      <c r="L20" s="25">
        <v>117</v>
      </c>
      <c r="M20" s="24">
        <v>307</v>
      </c>
      <c r="N20" s="67">
        <f>O20+Q20+S20+V20+W20</f>
        <v>6579.8</v>
      </c>
      <c r="O20" s="68">
        <v>5777.1</v>
      </c>
      <c r="P20" s="69">
        <f>3332.4+0.1-0.2+0-0.3</f>
        <v>3332</v>
      </c>
      <c r="Q20" s="104"/>
      <c r="R20" s="35"/>
      <c r="S20" s="35">
        <v>137.1</v>
      </c>
      <c r="T20" s="35"/>
      <c r="U20" s="7"/>
      <c r="V20" s="109">
        <f>12.7+12.7+12.7+12.7+12.6+12.5+12.9+12.7+114+113.9+114+114</f>
        <v>557.4</v>
      </c>
      <c r="W20" s="123">
        <f>665.6-V20</f>
        <v>108.20000000000005</v>
      </c>
      <c r="X20" s="122">
        <f t="shared" si="2"/>
        <v>724.62</v>
      </c>
      <c r="Y20" s="122">
        <f t="shared" si="1"/>
        <v>542.9720000000001</v>
      </c>
      <c r="Z20" s="122">
        <f t="shared" si="3"/>
        <v>289.84799999999996</v>
      </c>
      <c r="AA20" s="136">
        <v>115.2</v>
      </c>
      <c r="AB20" s="137"/>
    </row>
    <row r="21" spans="1:28" ht="12.75">
      <c r="A21" s="23">
        <v>11</v>
      </c>
      <c r="B21" s="24">
        <v>1981</v>
      </c>
      <c r="C21" s="25" t="s">
        <v>40</v>
      </c>
      <c r="D21" s="26" t="s">
        <v>45</v>
      </c>
      <c r="E21" s="30">
        <v>79</v>
      </c>
      <c r="F21" s="30" t="s">
        <v>39</v>
      </c>
      <c r="G21" s="30">
        <v>8</v>
      </c>
      <c r="H21" s="25">
        <v>5</v>
      </c>
      <c r="I21" s="25">
        <v>1</v>
      </c>
      <c r="J21" s="25">
        <v>8</v>
      </c>
      <c r="K21" s="25"/>
      <c r="L21" s="25">
        <v>120</v>
      </c>
      <c r="M21" s="24">
        <v>323</v>
      </c>
      <c r="N21" s="67">
        <f t="shared" si="0"/>
        <v>6608.7</v>
      </c>
      <c r="O21" s="68">
        <v>5945</v>
      </c>
      <c r="P21" s="69">
        <f>3421.9-0.4</f>
        <v>3421.5</v>
      </c>
      <c r="Q21" s="104"/>
      <c r="R21" s="35"/>
      <c r="S21" s="35"/>
      <c r="T21" s="35"/>
      <c r="U21" s="75"/>
      <c r="V21" s="109">
        <f>14+14.1+14.1+14.1+14+14.1+14+14+113.7+113.7+113.7+113.7</f>
        <v>567.2</v>
      </c>
      <c r="W21" s="109">
        <f>663.7-V21</f>
        <v>96.5</v>
      </c>
      <c r="X21" s="122">
        <f t="shared" si="2"/>
        <v>737.3600000000001</v>
      </c>
      <c r="Y21" s="122">
        <f t="shared" si="1"/>
        <v>538.9160000000002</v>
      </c>
      <c r="Z21" s="122">
        <f t="shared" si="3"/>
        <v>294.94399999999996</v>
      </c>
      <c r="AA21" s="138">
        <v>115.2</v>
      </c>
      <c r="AB21" s="139"/>
    </row>
    <row r="22" spans="1:28" ht="12.75">
      <c r="A22" s="23"/>
      <c r="B22" s="25"/>
      <c r="C22" s="25"/>
      <c r="D22" s="29"/>
      <c r="E22" s="30"/>
      <c r="F22" s="25"/>
      <c r="G22" s="25"/>
      <c r="H22" s="25"/>
      <c r="I22" s="30">
        <f aca="true" t="shared" si="4" ref="I22:P22">SUM(I11:I21)</f>
        <v>11</v>
      </c>
      <c r="J22" s="30">
        <f t="shared" si="4"/>
        <v>72</v>
      </c>
      <c r="K22" s="30">
        <f t="shared" si="4"/>
        <v>0</v>
      </c>
      <c r="L22" s="30">
        <f t="shared" si="4"/>
        <v>1067</v>
      </c>
      <c r="M22" s="30">
        <f t="shared" si="4"/>
        <v>2889</v>
      </c>
      <c r="N22" s="71">
        <f t="shared" si="4"/>
        <v>58972.61</v>
      </c>
      <c r="O22" s="30">
        <f t="shared" si="4"/>
        <v>52507.51</v>
      </c>
      <c r="P22" s="72">
        <f t="shared" si="4"/>
        <v>31263.7</v>
      </c>
      <c r="Q22" s="106">
        <f aca="true" t="shared" si="5" ref="Q22:AB22">SUM(Q11:Q21)</f>
        <v>48.4</v>
      </c>
      <c r="R22" s="50">
        <f t="shared" si="5"/>
        <v>29</v>
      </c>
      <c r="S22" s="107">
        <f t="shared" si="5"/>
        <v>349.2</v>
      </c>
      <c r="T22" s="30">
        <f t="shared" si="5"/>
        <v>0</v>
      </c>
      <c r="U22" s="30">
        <f t="shared" si="5"/>
        <v>267.20000000000005</v>
      </c>
      <c r="V22" s="30">
        <f t="shared" si="5"/>
        <v>5050</v>
      </c>
      <c r="W22" s="30">
        <f t="shared" si="5"/>
        <v>750.3000000000001</v>
      </c>
      <c r="X22" s="30">
        <f t="shared" si="5"/>
        <v>6565</v>
      </c>
      <c r="Y22" s="30">
        <f t="shared" si="5"/>
        <v>4689.3</v>
      </c>
      <c r="Z22" s="30">
        <f t="shared" si="5"/>
        <v>2626</v>
      </c>
      <c r="AA22" s="96">
        <f t="shared" si="5"/>
        <v>1052.4</v>
      </c>
      <c r="AB22" s="96">
        <f t="shared" si="5"/>
        <v>0</v>
      </c>
    </row>
    <row r="23" spans="1:28" ht="12.75">
      <c r="A23" s="27"/>
      <c r="B23" s="24"/>
      <c r="C23" s="24"/>
      <c r="D23" s="30" t="s">
        <v>47</v>
      </c>
      <c r="E23" s="30"/>
      <c r="F23" s="25"/>
      <c r="G23" s="25"/>
      <c r="H23" s="25"/>
      <c r="I23" s="25"/>
      <c r="J23" s="25"/>
      <c r="K23" s="25"/>
      <c r="L23" s="24"/>
      <c r="M23" s="73"/>
      <c r="N23" s="74"/>
      <c r="O23" s="28"/>
      <c r="P23" s="70"/>
      <c r="Q23" s="108"/>
      <c r="R23" s="109"/>
      <c r="S23" s="35"/>
      <c r="T23" s="35"/>
      <c r="U23" s="24"/>
      <c r="V23" s="24"/>
      <c r="W23" s="24"/>
      <c r="X23" s="124"/>
      <c r="Y23" s="24"/>
      <c r="Z23" s="24"/>
      <c r="AA23" s="140"/>
      <c r="AB23" s="140"/>
    </row>
    <row r="24" spans="1:28" ht="12.75">
      <c r="A24" s="27">
        <v>12</v>
      </c>
      <c r="B24" s="24">
        <v>1989</v>
      </c>
      <c r="C24" s="31" t="s">
        <v>48</v>
      </c>
      <c r="D24" s="26" t="s">
        <v>41</v>
      </c>
      <c r="E24" s="30">
        <v>21</v>
      </c>
      <c r="F24" s="30" t="s">
        <v>39</v>
      </c>
      <c r="G24" s="39" t="s">
        <v>49</v>
      </c>
      <c r="H24" s="24">
        <v>3</v>
      </c>
      <c r="I24" s="24">
        <v>1</v>
      </c>
      <c r="J24" s="24">
        <v>1</v>
      </c>
      <c r="K24" s="24">
        <v>2</v>
      </c>
      <c r="L24" s="24">
        <v>53</v>
      </c>
      <c r="M24" s="24">
        <v>132</v>
      </c>
      <c r="N24" s="74">
        <f aca="true" t="shared" si="6" ref="N24:N28">O24+Q24+S24+U24+V24+W24</f>
        <v>3718.4000000000005</v>
      </c>
      <c r="O24" s="75">
        <v>2818.8</v>
      </c>
      <c r="P24" s="76">
        <f>1553.5+0.5+37.9+0.1+0.2+1.8</f>
        <v>1594</v>
      </c>
      <c r="Q24" s="110"/>
      <c r="R24" s="25"/>
      <c r="S24" s="25"/>
      <c r="T24" s="35"/>
      <c r="U24" s="25"/>
      <c r="V24" s="25">
        <v>154.4</v>
      </c>
      <c r="W24" s="25">
        <f>800.6-12.3-31-4.4-10.3+2.6</f>
        <v>745.2000000000002</v>
      </c>
      <c r="X24" s="75">
        <f aca="true" t="shared" si="7" ref="X24:X28">V24*1.3</f>
        <v>200.72000000000003</v>
      </c>
      <c r="Y24" s="24">
        <f aca="true" t="shared" si="8" ref="Y24:Y28">W24+X24</f>
        <v>945.9200000000002</v>
      </c>
      <c r="Z24" s="124">
        <f aca="true" t="shared" si="9" ref="Z24:Z28">W24+X24-Y24</f>
        <v>0</v>
      </c>
      <c r="AA24" s="141"/>
      <c r="AB24" s="137"/>
    </row>
    <row r="25" spans="1:28" ht="25.5">
      <c r="A25" s="27">
        <v>13</v>
      </c>
      <c r="B25" s="24">
        <v>1993</v>
      </c>
      <c r="C25" s="24" t="s">
        <v>50</v>
      </c>
      <c r="D25" s="26" t="s">
        <v>41</v>
      </c>
      <c r="E25" s="30">
        <v>35</v>
      </c>
      <c r="F25" s="30" t="s">
        <v>39</v>
      </c>
      <c r="G25" s="30" t="s">
        <v>51</v>
      </c>
      <c r="H25" s="25">
        <v>5</v>
      </c>
      <c r="I25" s="25">
        <v>1</v>
      </c>
      <c r="J25" s="25">
        <v>4</v>
      </c>
      <c r="K25" s="25"/>
      <c r="L25" s="24">
        <v>70</v>
      </c>
      <c r="M25" s="24">
        <v>189</v>
      </c>
      <c r="N25" s="77">
        <f t="shared" si="6"/>
        <v>3745.6</v>
      </c>
      <c r="O25" s="75">
        <v>3462.4</v>
      </c>
      <c r="P25" s="76">
        <f>2106.7-8.2-6.3-0.4-1.4-1.9+3.3</f>
        <v>2091.7999999999997</v>
      </c>
      <c r="Q25" s="108"/>
      <c r="R25" s="109"/>
      <c r="S25" s="35"/>
      <c r="T25" s="35"/>
      <c r="U25" s="24"/>
      <c r="V25" s="24">
        <v>271.6</v>
      </c>
      <c r="W25" s="24">
        <v>11.6</v>
      </c>
      <c r="X25" s="24">
        <f t="shared" si="7"/>
        <v>353.08000000000004</v>
      </c>
      <c r="Y25" s="24">
        <f t="shared" si="8"/>
        <v>364.68000000000006</v>
      </c>
      <c r="Z25" s="124">
        <f t="shared" si="9"/>
        <v>0</v>
      </c>
      <c r="AA25" s="137"/>
      <c r="AB25" s="137">
        <v>31.5</v>
      </c>
    </row>
    <row r="26" spans="1:28" ht="12.75">
      <c r="A26" s="27">
        <v>14</v>
      </c>
      <c r="B26" s="24">
        <v>1988</v>
      </c>
      <c r="C26" s="24" t="s">
        <v>52</v>
      </c>
      <c r="D26" s="26" t="s">
        <v>53</v>
      </c>
      <c r="E26" s="30">
        <v>48</v>
      </c>
      <c r="F26" s="30" t="s">
        <v>39</v>
      </c>
      <c r="G26" s="39" t="s">
        <v>54</v>
      </c>
      <c r="H26" s="25">
        <v>2</v>
      </c>
      <c r="I26" s="25">
        <v>1</v>
      </c>
      <c r="J26" s="25">
        <v>3</v>
      </c>
      <c r="K26" s="25"/>
      <c r="L26" s="24">
        <v>18</v>
      </c>
      <c r="M26" s="24">
        <v>46</v>
      </c>
      <c r="N26" s="74">
        <f t="shared" si="6"/>
        <v>1048.6</v>
      </c>
      <c r="O26" s="28">
        <v>931.6</v>
      </c>
      <c r="P26" s="76">
        <v>560.4</v>
      </c>
      <c r="Q26" s="108"/>
      <c r="R26" s="109"/>
      <c r="S26" s="35"/>
      <c r="T26" s="35"/>
      <c r="U26" s="24"/>
      <c r="V26" s="24">
        <v>111</v>
      </c>
      <c r="W26" s="24">
        <v>6</v>
      </c>
      <c r="X26" s="24">
        <f t="shared" si="7"/>
        <v>144.3</v>
      </c>
      <c r="Y26" s="24">
        <f t="shared" si="8"/>
        <v>150.3</v>
      </c>
      <c r="Z26" s="124">
        <f t="shared" si="9"/>
        <v>0</v>
      </c>
      <c r="AA26" s="137"/>
      <c r="AB26" s="137">
        <v>33.6</v>
      </c>
    </row>
    <row r="27" spans="1:28" ht="12.75">
      <c r="A27" s="27">
        <v>15</v>
      </c>
      <c r="B27" s="24">
        <v>1993</v>
      </c>
      <c r="C27" s="24" t="s">
        <v>55</v>
      </c>
      <c r="D27" s="26" t="s">
        <v>53</v>
      </c>
      <c r="E27" s="30">
        <v>50</v>
      </c>
      <c r="F27" s="30" t="s">
        <v>56</v>
      </c>
      <c r="G27" s="39" t="s">
        <v>57</v>
      </c>
      <c r="H27" s="25">
        <v>3</v>
      </c>
      <c r="I27" s="25">
        <v>1</v>
      </c>
      <c r="J27" s="25">
        <v>3</v>
      </c>
      <c r="K27" s="25"/>
      <c r="L27" s="24">
        <v>27</v>
      </c>
      <c r="M27" s="24">
        <v>66</v>
      </c>
      <c r="N27" s="74">
        <f t="shared" si="6"/>
        <v>1315.8</v>
      </c>
      <c r="O27" s="28">
        <v>1172.4</v>
      </c>
      <c r="P27" s="76">
        <v>665.1</v>
      </c>
      <c r="Q27" s="108"/>
      <c r="R27" s="109"/>
      <c r="S27" s="35"/>
      <c r="T27" s="35"/>
      <c r="U27" s="24"/>
      <c r="V27" s="24">
        <v>126.3</v>
      </c>
      <c r="W27" s="24">
        <v>17.1</v>
      </c>
      <c r="X27" s="24">
        <f t="shared" si="7"/>
        <v>164.19</v>
      </c>
      <c r="Y27" s="24">
        <f t="shared" si="8"/>
        <v>181.29</v>
      </c>
      <c r="Z27" s="124">
        <f t="shared" si="9"/>
        <v>0</v>
      </c>
      <c r="AA27" s="137"/>
      <c r="AB27" s="137">
        <v>29.55</v>
      </c>
    </row>
    <row r="28" spans="1:28" ht="12.75">
      <c r="A28" s="27">
        <v>16</v>
      </c>
      <c r="B28" s="24">
        <v>1993</v>
      </c>
      <c r="C28" s="24" t="s">
        <v>58</v>
      </c>
      <c r="D28" s="26" t="s">
        <v>53</v>
      </c>
      <c r="E28" s="30" t="s">
        <v>59</v>
      </c>
      <c r="F28" s="30" t="s">
        <v>39</v>
      </c>
      <c r="G28" s="39" t="s">
        <v>54</v>
      </c>
      <c r="H28" s="25">
        <v>2</v>
      </c>
      <c r="I28" s="25">
        <v>1</v>
      </c>
      <c r="J28" s="25">
        <v>2</v>
      </c>
      <c r="K28" s="25"/>
      <c r="L28" s="24">
        <v>20</v>
      </c>
      <c r="M28" s="24">
        <v>77</v>
      </c>
      <c r="N28" s="74">
        <f t="shared" si="6"/>
        <v>1369.7</v>
      </c>
      <c r="O28" s="28">
        <v>1225.2</v>
      </c>
      <c r="P28" s="76">
        <f>743.5-1.4</f>
        <v>742.1</v>
      </c>
      <c r="Q28" s="108"/>
      <c r="R28" s="109"/>
      <c r="S28" s="35"/>
      <c r="T28" s="35"/>
      <c r="U28" s="24"/>
      <c r="V28" s="24">
        <v>57.1</v>
      </c>
      <c r="W28" s="24">
        <v>87.4</v>
      </c>
      <c r="X28" s="24">
        <f t="shared" si="7"/>
        <v>74.23</v>
      </c>
      <c r="Y28" s="24">
        <f t="shared" si="8"/>
        <v>161.63</v>
      </c>
      <c r="Z28" s="124">
        <f t="shared" si="9"/>
        <v>0</v>
      </c>
      <c r="AA28" s="139"/>
      <c r="AB28" s="139">
        <v>49.5</v>
      </c>
    </row>
    <row r="29" spans="1:28" ht="12.75">
      <c r="A29" s="27"/>
      <c r="B29" s="24"/>
      <c r="C29" s="24"/>
      <c r="D29" s="26"/>
      <c r="E29" s="30"/>
      <c r="F29" s="40"/>
      <c r="G29" s="40"/>
      <c r="H29" s="25"/>
      <c r="I29" s="30">
        <f>SUM(I24:I28)</f>
        <v>5</v>
      </c>
      <c r="J29" s="30">
        <f>SUM(J24:J28)</f>
        <v>13</v>
      </c>
      <c r="K29" s="30">
        <f aca="true" t="shared" si="10" ref="K29:AB29">SUM(K24:K28)</f>
        <v>2</v>
      </c>
      <c r="L29" s="30">
        <f t="shared" si="10"/>
        <v>188</v>
      </c>
      <c r="M29" s="30">
        <f t="shared" si="10"/>
        <v>510</v>
      </c>
      <c r="N29" s="78">
        <f t="shared" si="10"/>
        <v>11198.1</v>
      </c>
      <c r="O29" s="79">
        <f t="shared" si="10"/>
        <v>9610.400000000001</v>
      </c>
      <c r="P29" s="80">
        <f t="shared" si="10"/>
        <v>5653.400000000001</v>
      </c>
      <c r="Q29" s="110">
        <f t="shared" si="10"/>
        <v>0</v>
      </c>
      <c r="R29" s="30">
        <f t="shared" si="10"/>
        <v>0</v>
      </c>
      <c r="S29" s="30">
        <f t="shared" si="10"/>
        <v>0</v>
      </c>
      <c r="T29" s="30">
        <f t="shared" si="10"/>
        <v>0</v>
      </c>
      <c r="U29" s="30">
        <f t="shared" si="10"/>
        <v>0</v>
      </c>
      <c r="V29" s="30">
        <f t="shared" si="10"/>
        <v>720.4</v>
      </c>
      <c r="W29" s="30">
        <f t="shared" si="10"/>
        <v>867.3000000000002</v>
      </c>
      <c r="X29" s="30">
        <f t="shared" si="10"/>
        <v>936.5200000000002</v>
      </c>
      <c r="Y29" s="93">
        <f t="shared" si="10"/>
        <v>1803.8200000000002</v>
      </c>
      <c r="Z29" s="93">
        <f t="shared" si="10"/>
        <v>0</v>
      </c>
      <c r="AA29" s="96">
        <f t="shared" si="10"/>
        <v>0</v>
      </c>
      <c r="AB29" s="96">
        <f t="shared" si="10"/>
        <v>144.14999999999998</v>
      </c>
    </row>
    <row r="30" spans="1:28" ht="12.75">
      <c r="A30" s="27"/>
      <c r="B30" s="24"/>
      <c r="C30" s="24"/>
      <c r="D30" s="30" t="s">
        <v>60</v>
      </c>
      <c r="E30" s="30"/>
      <c r="F30" s="25"/>
      <c r="G30" s="25"/>
      <c r="H30" s="25"/>
      <c r="I30" s="24"/>
      <c r="J30" s="24"/>
      <c r="K30" s="24"/>
      <c r="L30" s="47"/>
      <c r="M30" s="24"/>
      <c r="N30" s="74"/>
      <c r="O30" s="81"/>
      <c r="P30" s="70"/>
      <c r="Q30" s="108"/>
      <c r="R30" s="109"/>
      <c r="S30" s="35"/>
      <c r="T30" s="35"/>
      <c r="U30" s="24"/>
      <c r="V30" s="24"/>
      <c r="W30" s="24"/>
      <c r="X30" s="24"/>
      <c r="Y30" s="24"/>
      <c r="Z30" s="24"/>
      <c r="AA30" s="137"/>
      <c r="AB30" s="142"/>
    </row>
    <row r="31" spans="1:28" ht="25.5">
      <c r="A31" s="27">
        <v>17</v>
      </c>
      <c r="B31" s="24">
        <v>1991</v>
      </c>
      <c r="C31" s="24" t="s">
        <v>61</v>
      </c>
      <c r="D31" s="26" t="s">
        <v>62</v>
      </c>
      <c r="E31" s="30">
        <v>125</v>
      </c>
      <c r="F31" s="30" t="s">
        <v>39</v>
      </c>
      <c r="G31" s="30">
        <v>11</v>
      </c>
      <c r="H31" s="25">
        <v>3</v>
      </c>
      <c r="I31" s="24">
        <v>1</v>
      </c>
      <c r="J31" s="24">
        <v>3</v>
      </c>
      <c r="K31" s="24"/>
      <c r="L31" s="48">
        <v>36</v>
      </c>
      <c r="M31" s="24">
        <v>99</v>
      </c>
      <c r="N31" s="77">
        <f aca="true" t="shared" si="11" ref="N31:N34">O31+Q31+S31+U31+V31+W31</f>
        <v>1827.8000000000002</v>
      </c>
      <c r="O31" s="81">
        <f>1521.7-1.3</f>
        <v>1520.4</v>
      </c>
      <c r="P31" s="70">
        <f>767.7-0.8</f>
        <v>766.9000000000001</v>
      </c>
      <c r="Q31" s="108"/>
      <c r="R31" s="109"/>
      <c r="S31" s="35"/>
      <c r="T31" s="35"/>
      <c r="U31" s="24"/>
      <c r="V31" s="24">
        <v>301.7</v>
      </c>
      <c r="W31" s="24">
        <v>5.7</v>
      </c>
      <c r="X31" s="24">
        <f aca="true" t="shared" si="12" ref="X31:X34">V31*1.3</f>
        <v>392.21</v>
      </c>
      <c r="Y31" s="24">
        <f aca="true" t="shared" si="13" ref="Y31:Y34">W31+X31</f>
        <v>397.90999999999997</v>
      </c>
      <c r="Z31" s="124">
        <f aca="true" t="shared" si="14" ref="Z31:Z34">W31+X31-Y31</f>
        <v>0</v>
      </c>
      <c r="AA31" s="137"/>
      <c r="AB31" s="142"/>
    </row>
    <row r="32" spans="1:28" ht="12.75">
      <c r="A32" s="27">
        <v>18</v>
      </c>
      <c r="B32" s="24">
        <v>1990</v>
      </c>
      <c r="C32" s="24" t="s">
        <v>63</v>
      </c>
      <c r="D32" s="26" t="s">
        <v>62</v>
      </c>
      <c r="E32" s="30">
        <v>127</v>
      </c>
      <c r="F32" s="30" t="s">
        <v>39</v>
      </c>
      <c r="G32" s="30">
        <v>11</v>
      </c>
      <c r="H32" s="25">
        <v>3</v>
      </c>
      <c r="I32" s="24">
        <v>1</v>
      </c>
      <c r="J32" s="24">
        <v>3</v>
      </c>
      <c r="K32" s="24"/>
      <c r="L32" s="48">
        <v>35</v>
      </c>
      <c r="M32" s="24">
        <v>84</v>
      </c>
      <c r="N32" s="77">
        <f t="shared" si="11"/>
        <v>1701.7</v>
      </c>
      <c r="O32" s="81">
        <v>1449.7</v>
      </c>
      <c r="P32" s="70">
        <v>725.5</v>
      </c>
      <c r="Q32" s="108"/>
      <c r="R32" s="109"/>
      <c r="S32" s="35"/>
      <c r="T32" s="35"/>
      <c r="U32" s="24"/>
      <c r="V32" s="24">
        <v>117.5</v>
      </c>
      <c r="W32" s="24">
        <v>134.5</v>
      </c>
      <c r="X32" s="24">
        <f t="shared" si="12"/>
        <v>152.75</v>
      </c>
      <c r="Y32" s="24">
        <f t="shared" si="13"/>
        <v>287.25</v>
      </c>
      <c r="Z32" s="124">
        <f t="shared" si="14"/>
        <v>0</v>
      </c>
      <c r="AA32" s="137"/>
      <c r="AB32" s="142"/>
    </row>
    <row r="33" spans="1:28" s="1" customFormat="1" ht="12.75">
      <c r="A33" s="27">
        <v>19</v>
      </c>
      <c r="B33" s="24">
        <v>1992</v>
      </c>
      <c r="C33" s="24" t="s">
        <v>50</v>
      </c>
      <c r="D33" s="26" t="s">
        <v>62</v>
      </c>
      <c r="E33" s="30">
        <v>129</v>
      </c>
      <c r="F33" s="30" t="s">
        <v>39</v>
      </c>
      <c r="G33" s="30">
        <v>11</v>
      </c>
      <c r="H33" s="25">
        <v>3</v>
      </c>
      <c r="I33" s="24">
        <v>1</v>
      </c>
      <c r="J33" s="24">
        <v>3</v>
      </c>
      <c r="K33" s="24"/>
      <c r="L33" s="48">
        <v>36</v>
      </c>
      <c r="M33" s="24">
        <v>103</v>
      </c>
      <c r="N33" s="77">
        <f t="shared" si="11"/>
        <v>1786.6</v>
      </c>
      <c r="O33" s="81">
        <v>1502.7</v>
      </c>
      <c r="P33" s="70">
        <f>760.7+0.5</f>
        <v>761.2</v>
      </c>
      <c r="Q33" s="108"/>
      <c r="R33" s="109"/>
      <c r="S33" s="35"/>
      <c r="T33" s="35"/>
      <c r="U33" s="24"/>
      <c r="V33" s="24">
        <v>266.3</v>
      </c>
      <c r="W33" s="24">
        <v>17.6</v>
      </c>
      <c r="X33" s="24">
        <f t="shared" si="12"/>
        <v>346.19000000000005</v>
      </c>
      <c r="Y33" s="24">
        <f t="shared" si="13"/>
        <v>363.7900000000001</v>
      </c>
      <c r="Z33" s="124">
        <f t="shared" si="14"/>
        <v>0</v>
      </c>
      <c r="AA33" s="137"/>
      <c r="AB33" s="142"/>
    </row>
    <row r="34" spans="1:29" ht="12.75">
      <c r="A34" s="27">
        <v>20</v>
      </c>
      <c r="B34" s="24">
        <v>1988</v>
      </c>
      <c r="C34" s="24" t="s">
        <v>64</v>
      </c>
      <c r="D34" s="26" t="s">
        <v>62</v>
      </c>
      <c r="E34" s="30">
        <v>133</v>
      </c>
      <c r="F34" s="30" t="s">
        <v>39</v>
      </c>
      <c r="G34" s="30">
        <v>11</v>
      </c>
      <c r="H34" s="25">
        <v>3</v>
      </c>
      <c r="I34" s="24">
        <v>1</v>
      </c>
      <c r="J34" s="24">
        <v>3</v>
      </c>
      <c r="K34" s="24"/>
      <c r="L34" s="48">
        <v>27</v>
      </c>
      <c r="M34" s="24">
        <v>72</v>
      </c>
      <c r="N34" s="77">
        <f t="shared" si="11"/>
        <v>1757.1999999999998</v>
      </c>
      <c r="O34" s="81">
        <v>1485.8</v>
      </c>
      <c r="P34" s="70">
        <f>882.1+3.7-0.6+0.4-0.1-0.3-1.4</f>
        <v>883.8000000000001</v>
      </c>
      <c r="Q34" s="108"/>
      <c r="R34" s="109"/>
      <c r="S34" s="35"/>
      <c r="T34" s="35"/>
      <c r="U34" s="24"/>
      <c r="V34" s="24">
        <v>119.8</v>
      </c>
      <c r="W34" s="24">
        <v>151.6</v>
      </c>
      <c r="X34" s="24">
        <f t="shared" si="12"/>
        <v>155.74</v>
      </c>
      <c r="Y34" s="24">
        <f t="shared" si="13"/>
        <v>307.34000000000003</v>
      </c>
      <c r="Z34" s="124">
        <f t="shared" si="14"/>
        <v>0</v>
      </c>
      <c r="AA34" s="143"/>
      <c r="AB34" s="144"/>
      <c r="AC34" s="1"/>
    </row>
    <row r="35" spans="1:29" ht="12.75">
      <c r="A35" s="27"/>
      <c r="B35" s="24"/>
      <c r="C35" s="24"/>
      <c r="D35" s="25"/>
      <c r="E35" s="30"/>
      <c r="F35" s="30"/>
      <c r="G35" s="25"/>
      <c r="H35" s="25"/>
      <c r="I35" s="33">
        <f>SUM(I31:I34)</f>
        <v>4</v>
      </c>
      <c r="J35" s="33">
        <f>SUM(J31:J34)</f>
        <v>12</v>
      </c>
      <c r="K35" s="33">
        <f aca="true" t="shared" si="15" ref="K35:AB35">SUM(K31:K34)</f>
        <v>0</v>
      </c>
      <c r="L35" s="33">
        <f t="shared" si="15"/>
        <v>134</v>
      </c>
      <c r="M35" s="33">
        <f t="shared" si="15"/>
        <v>358</v>
      </c>
      <c r="N35" s="82">
        <f t="shared" si="15"/>
        <v>7073.3</v>
      </c>
      <c r="O35" s="83">
        <f t="shared" si="15"/>
        <v>5958.6</v>
      </c>
      <c r="P35" s="84">
        <f t="shared" si="15"/>
        <v>3137.4000000000005</v>
      </c>
      <c r="Q35" s="111">
        <f t="shared" si="15"/>
        <v>0</v>
      </c>
      <c r="R35" s="33">
        <f t="shared" si="15"/>
        <v>0</v>
      </c>
      <c r="S35" s="33">
        <f t="shared" si="15"/>
        <v>0</v>
      </c>
      <c r="T35" s="33">
        <f t="shared" si="15"/>
        <v>0</v>
      </c>
      <c r="U35" s="33">
        <f t="shared" si="15"/>
        <v>0</v>
      </c>
      <c r="V35" s="33">
        <f t="shared" si="15"/>
        <v>805.3</v>
      </c>
      <c r="W35" s="33">
        <f t="shared" si="15"/>
        <v>309.4</v>
      </c>
      <c r="X35" s="33">
        <f t="shared" si="15"/>
        <v>1046.89</v>
      </c>
      <c r="Y35" s="33">
        <f t="shared" si="15"/>
        <v>1356.29</v>
      </c>
      <c r="Z35" s="33">
        <f t="shared" si="15"/>
        <v>0</v>
      </c>
      <c r="AA35" s="33">
        <f t="shared" si="15"/>
        <v>0</v>
      </c>
      <c r="AB35" s="84">
        <f t="shared" si="15"/>
        <v>0</v>
      </c>
      <c r="AC35" s="1"/>
    </row>
    <row r="36" spans="1:29" ht="12.75">
      <c r="A36" s="27"/>
      <c r="B36" s="24"/>
      <c r="C36" s="24"/>
      <c r="D36" s="30" t="s">
        <v>65</v>
      </c>
      <c r="E36" s="30"/>
      <c r="F36" s="30"/>
      <c r="G36" s="25"/>
      <c r="H36" s="25"/>
      <c r="I36" s="24"/>
      <c r="J36" s="24"/>
      <c r="K36" s="24"/>
      <c r="L36" s="48"/>
      <c r="M36" s="24"/>
      <c r="N36" s="74"/>
      <c r="O36" s="81"/>
      <c r="P36" s="70"/>
      <c r="Q36" s="108"/>
      <c r="R36" s="109"/>
      <c r="S36" s="35"/>
      <c r="T36" s="35"/>
      <c r="U36" s="24"/>
      <c r="V36" s="24"/>
      <c r="W36" s="24"/>
      <c r="X36" s="24"/>
      <c r="Y36" s="24"/>
      <c r="Z36" s="24"/>
      <c r="AA36" s="140"/>
      <c r="AB36" s="145"/>
      <c r="AC36" s="1"/>
    </row>
    <row r="37" spans="1:29" ht="25.5" customHeight="1">
      <c r="A37" s="27">
        <v>21</v>
      </c>
      <c r="B37" s="24">
        <v>1990</v>
      </c>
      <c r="C37" s="24" t="s">
        <v>66</v>
      </c>
      <c r="D37" s="26" t="s">
        <v>67</v>
      </c>
      <c r="E37" s="30">
        <v>66</v>
      </c>
      <c r="F37" s="30" t="s">
        <v>39</v>
      </c>
      <c r="G37" s="30" t="s">
        <v>68</v>
      </c>
      <c r="H37" s="25">
        <v>3</v>
      </c>
      <c r="I37" s="24">
        <v>1</v>
      </c>
      <c r="J37" s="24">
        <v>3</v>
      </c>
      <c r="K37" s="24"/>
      <c r="L37" s="48">
        <v>21</v>
      </c>
      <c r="M37" s="24">
        <v>58</v>
      </c>
      <c r="N37" s="77">
        <f aca="true" t="shared" si="16" ref="N37:N46">O37+Q37+S37+U37+V37+W37</f>
        <v>1486.8999999999999</v>
      </c>
      <c r="O37" s="81">
        <v>1049.1</v>
      </c>
      <c r="P37" s="70">
        <v>613.1</v>
      </c>
      <c r="Q37" s="108"/>
      <c r="R37" s="109"/>
      <c r="S37" s="35"/>
      <c r="T37" s="35"/>
      <c r="U37" s="24">
        <f>160.5+149.2</f>
        <v>309.7</v>
      </c>
      <c r="V37" s="24">
        <v>128.1</v>
      </c>
      <c r="W37" s="24"/>
      <c r="X37" s="24">
        <f aca="true" t="shared" si="17" ref="X37:X46">V37*1.3</f>
        <v>166.53</v>
      </c>
      <c r="Y37" s="24">
        <f>W37+X37</f>
        <v>166.53</v>
      </c>
      <c r="Z37" s="124">
        <f aca="true" t="shared" si="18" ref="Z37:Z46">W37+X37-Y37</f>
        <v>0</v>
      </c>
      <c r="AA37" s="137">
        <v>66.2</v>
      </c>
      <c r="AB37" s="142"/>
      <c r="AC37" s="1"/>
    </row>
    <row r="38" spans="1:28" ht="25.5">
      <c r="A38" s="27">
        <v>22</v>
      </c>
      <c r="B38" s="24">
        <v>1988</v>
      </c>
      <c r="C38" s="24" t="s">
        <v>66</v>
      </c>
      <c r="D38" s="26" t="s">
        <v>69</v>
      </c>
      <c r="E38" s="30">
        <v>8</v>
      </c>
      <c r="F38" s="30" t="s">
        <v>39</v>
      </c>
      <c r="G38" s="30" t="s">
        <v>70</v>
      </c>
      <c r="H38" s="25">
        <v>5</v>
      </c>
      <c r="I38" s="24">
        <v>1</v>
      </c>
      <c r="J38" s="24">
        <v>4</v>
      </c>
      <c r="K38" s="24"/>
      <c r="L38" s="48">
        <v>57</v>
      </c>
      <c r="M38" s="24">
        <v>128</v>
      </c>
      <c r="N38" s="77">
        <f t="shared" si="16"/>
        <v>3319.7000000000003</v>
      </c>
      <c r="O38" s="81">
        <v>2773.5</v>
      </c>
      <c r="P38" s="70">
        <f>1635.4-29.1-0.1</f>
        <v>1606.2000000000003</v>
      </c>
      <c r="Q38" s="108">
        <v>52.3</v>
      </c>
      <c r="R38" s="109">
        <v>29.1</v>
      </c>
      <c r="S38" s="35"/>
      <c r="T38" s="35"/>
      <c r="U38" s="24">
        <v>170.3</v>
      </c>
      <c r="V38" s="24">
        <v>279.5</v>
      </c>
      <c r="W38" s="24">
        <v>44.1</v>
      </c>
      <c r="X38" s="24">
        <f t="shared" si="17"/>
        <v>363.35</v>
      </c>
      <c r="Y38" s="24">
        <f aca="true" t="shared" si="19" ref="Y38:Y42">X38/H38*3+W38</f>
        <v>262.11</v>
      </c>
      <c r="Z38" s="122">
        <f t="shared" si="18"/>
        <v>145.34000000000003</v>
      </c>
      <c r="AA38" s="137">
        <v>187.2</v>
      </c>
      <c r="AB38" s="142"/>
    </row>
    <row r="39" spans="1:28" ht="25.5">
      <c r="A39" s="27">
        <v>23</v>
      </c>
      <c r="B39" s="24">
        <v>1992</v>
      </c>
      <c r="C39" s="24" t="s">
        <v>50</v>
      </c>
      <c r="D39" s="26" t="s">
        <v>69</v>
      </c>
      <c r="E39" s="30">
        <v>12</v>
      </c>
      <c r="F39" s="30" t="s">
        <v>39</v>
      </c>
      <c r="G39" s="30" t="s">
        <v>70</v>
      </c>
      <c r="H39" s="25">
        <v>5</v>
      </c>
      <c r="I39" s="24">
        <v>1</v>
      </c>
      <c r="J39" s="24">
        <v>3</v>
      </c>
      <c r="K39" s="24"/>
      <c r="L39" s="48">
        <v>53</v>
      </c>
      <c r="M39" s="24">
        <v>125</v>
      </c>
      <c r="N39" s="77">
        <f t="shared" si="16"/>
        <v>2461.3</v>
      </c>
      <c r="O39" s="81">
        <v>2160</v>
      </c>
      <c r="P39" s="70">
        <f>1154.2-0.1</f>
        <v>1154.1000000000001</v>
      </c>
      <c r="Q39" s="108"/>
      <c r="R39" s="109"/>
      <c r="S39" s="35"/>
      <c r="T39" s="35"/>
      <c r="U39" s="24"/>
      <c r="V39" s="24">
        <v>210.8</v>
      </c>
      <c r="W39" s="24">
        <v>90.5</v>
      </c>
      <c r="X39" s="24">
        <f t="shared" si="17"/>
        <v>274.04</v>
      </c>
      <c r="Y39" s="124">
        <f t="shared" si="19"/>
        <v>254.92400000000004</v>
      </c>
      <c r="Z39" s="124">
        <f t="shared" si="18"/>
        <v>109.61599999999999</v>
      </c>
      <c r="AA39" s="137">
        <v>171.6</v>
      </c>
      <c r="AB39" s="142"/>
    </row>
    <row r="40" spans="1:28" ht="12.75" customHeight="1">
      <c r="A40" s="27">
        <v>24</v>
      </c>
      <c r="B40" s="24">
        <v>1981</v>
      </c>
      <c r="C40" s="24" t="s">
        <v>66</v>
      </c>
      <c r="D40" s="26" t="s">
        <v>69</v>
      </c>
      <c r="E40" s="30">
        <v>16</v>
      </c>
      <c r="F40" s="30" t="s">
        <v>39</v>
      </c>
      <c r="G40" s="30" t="s">
        <v>68</v>
      </c>
      <c r="H40" s="25">
        <v>3</v>
      </c>
      <c r="I40" s="24">
        <v>1</v>
      </c>
      <c r="J40" s="24">
        <v>3</v>
      </c>
      <c r="K40" s="24"/>
      <c r="L40" s="48">
        <v>33</v>
      </c>
      <c r="M40" s="24">
        <v>93</v>
      </c>
      <c r="N40" s="77">
        <f t="shared" si="16"/>
        <v>1480.7000000000003</v>
      </c>
      <c r="O40" s="81">
        <v>1326.9</v>
      </c>
      <c r="P40" s="70">
        <f>701.5-0.1+0</f>
        <v>701.4</v>
      </c>
      <c r="Q40" s="108"/>
      <c r="R40" s="109"/>
      <c r="S40" s="35"/>
      <c r="T40" s="35"/>
      <c r="U40" s="24"/>
      <c r="V40" s="24">
        <v>116.4</v>
      </c>
      <c r="W40" s="24">
        <v>37.4</v>
      </c>
      <c r="X40" s="24">
        <f t="shared" si="17"/>
        <v>151.32000000000002</v>
      </c>
      <c r="Y40" s="24">
        <f aca="true" t="shared" si="20" ref="Y40:Y45">W40+X40</f>
        <v>188.72000000000003</v>
      </c>
      <c r="Z40" s="124">
        <f t="shared" si="18"/>
        <v>0</v>
      </c>
      <c r="AA40" s="137">
        <v>121.5</v>
      </c>
      <c r="AB40" s="142"/>
    </row>
    <row r="41" spans="1:28" ht="25.5">
      <c r="A41" s="27">
        <v>25</v>
      </c>
      <c r="B41" s="24">
        <v>1982</v>
      </c>
      <c r="C41" s="24" t="s">
        <v>66</v>
      </c>
      <c r="D41" s="26" t="s">
        <v>69</v>
      </c>
      <c r="E41" s="30">
        <v>18</v>
      </c>
      <c r="F41" s="30" t="s">
        <v>39</v>
      </c>
      <c r="G41" s="30" t="s">
        <v>70</v>
      </c>
      <c r="H41" s="25">
        <v>5</v>
      </c>
      <c r="I41" s="24">
        <v>1</v>
      </c>
      <c r="J41" s="24">
        <v>3</v>
      </c>
      <c r="K41" s="24"/>
      <c r="L41" s="48">
        <v>45</v>
      </c>
      <c r="M41" s="24">
        <v>117</v>
      </c>
      <c r="N41" s="77">
        <f t="shared" si="16"/>
        <v>2461.8</v>
      </c>
      <c r="O41" s="81">
        <v>2218.5</v>
      </c>
      <c r="P41" s="70">
        <f>1278.4+0.2-2</f>
        <v>1276.6000000000001</v>
      </c>
      <c r="Q41" s="108"/>
      <c r="R41" s="109"/>
      <c r="S41" s="35"/>
      <c r="T41" s="35"/>
      <c r="U41" s="24"/>
      <c r="V41" s="24">
        <v>209.8</v>
      </c>
      <c r="W41" s="24">
        <v>33.5</v>
      </c>
      <c r="X41" s="24">
        <f t="shared" si="17"/>
        <v>272.74</v>
      </c>
      <c r="Y41" s="124">
        <f t="shared" si="19"/>
        <v>197.144</v>
      </c>
      <c r="Z41" s="124">
        <f t="shared" si="18"/>
        <v>109.096</v>
      </c>
      <c r="AA41" s="137">
        <v>175</v>
      </c>
      <c r="AB41" s="142"/>
    </row>
    <row r="42" spans="1:28" ht="25.5">
      <c r="A42" s="27">
        <v>26</v>
      </c>
      <c r="B42" s="24">
        <v>1982</v>
      </c>
      <c r="C42" s="24" t="s">
        <v>66</v>
      </c>
      <c r="D42" s="26" t="s">
        <v>62</v>
      </c>
      <c r="E42" s="30">
        <v>50</v>
      </c>
      <c r="F42" s="30" t="s">
        <v>39</v>
      </c>
      <c r="G42" s="30" t="s">
        <v>70</v>
      </c>
      <c r="H42" s="25">
        <v>5</v>
      </c>
      <c r="I42" s="24">
        <v>1</v>
      </c>
      <c r="J42" s="24">
        <v>4</v>
      </c>
      <c r="K42" s="24"/>
      <c r="L42" s="48">
        <v>59</v>
      </c>
      <c r="M42" s="24">
        <v>155</v>
      </c>
      <c r="N42" s="77">
        <f t="shared" si="16"/>
        <v>3236.6</v>
      </c>
      <c r="O42" s="81">
        <v>2916.2</v>
      </c>
      <c r="P42" s="70">
        <f>1709-0.4-0.2-0.2-0.4+0-28.9</f>
        <v>1678.8999999999996</v>
      </c>
      <c r="Q42" s="108">
        <v>51.5</v>
      </c>
      <c r="R42" s="109">
        <v>28.9</v>
      </c>
      <c r="S42" s="35"/>
      <c r="T42" s="35"/>
      <c r="U42" s="24"/>
      <c r="V42" s="24">
        <v>224.3</v>
      </c>
      <c r="W42" s="24">
        <v>44.6</v>
      </c>
      <c r="X42" s="24">
        <f t="shared" si="17"/>
        <v>291.59000000000003</v>
      </c>
      <c r="Y42" s="124">
        <f t="shared" si="19"/>
        <v>219.554</v>
      </c>
      <c r="Z42" s="124">
        <f t="shared" si="18"/>
        <v>116.63600000000005</v>
      </c>
      <c r="AA42" s="137">
        <v>176.6</v>
      </c>
      <c r="AB42" s="142"/>
    </row>
    <row r="43" spans="1:28" ht="13.5" customHeight="1">
      <c r="A43" s="27">
        <v>27</v>
      </c>
      <c r="B43" s="24">
        <v>1984</v>
      </c>
      <c r="C43" s="24" t="s">
        <v>50</v>
      </c>
      <c r="D43" s="26" t="s">
        <v>67</v>
      </c>
      <c r="E43" s="30">
        <v>64</v>
      </c>
      <c r="F43" s="30" t="s">
        <v>39</v>
      </c>
      <c r="G43" s="30" t="s">
        <v>71</v>
      </c>
      <c r="H43" s="25">
        <v>2</v>
      </c>
      <c r="I43" s="24">
        <v>1</v>
      </c>
      <c r="J43" s="24">
        <v>4</v>
      </c>
      <c r="K43" s="24"/>
      <c r="L43" s="48">
        <v>16</v>
      </c>
      <c r="M43" s="24">
        <v>58</v>
      </c>
      <c r="N43" s="77">
        <f t="shared" si="16"/>
        <v>1324.3000000000002</v>
      </c>
      <c r="O43" s="81">
        <v>1211.4</v>
      </c>
      <c r="P43" s="70">
        <v>833.1</v>
      </c>
      <c r="Q43" s="108"/>
      <c r="R43" s="109"/>
      <c r="S43" s="35"/>
      <c r="T43" s="35"/>
      <c r="U43" s="24"/>
      <c r="V43" s="24">
        <v>112.9</v>
      </c>
      <c r="W43" s="24"/>
      <c r="X43" s="24">
        <f t="shared" si="17"/>
        <v>146.77</v>
      </c>
      <c r="Y43" s="24"/>
      <c r="Z43" s="24">
        <f t="shared" si="18"/>
        <v>146.77</v>
      </c>
      <c r="AA43" s="137"/>
      <c r="AB43" s="142"/>
    </row>
    <row r="44" spans="1:28" ht="16.5" customHeight="1">
      <c r="A44" s="27">
        <v>28</v>
      </c>
      <c r="B44" s="24">
        <v>1983</v>
      </c>
      <c r="C44" s="24" t="s">
        <v>66</v>
      </c>
      <c r="D44" s="26" t="s">
        <v>72</v>
      </c>
      <c r="E44" s="30">
        <v>47</v>
      </c>
      <c r="F44" s="30" t="s">
        <v>39</v>
      </c>
      <c r="G44" s="30" t="s">
        <v>71</v>
      </c>
      <c r="H44" s="25">
        <v>2</v>
      </c>
      <c r="I44" s="24">
        <v>1</v>
      </c>
      <c r="J44" s="24">
        <v>3</v>
      </c>
      <c r="K44" s="24"/>
      <c r="L44" s="48">
        <v>18</v>
      </c>
      <c r="M44" s="24">
        <v>40</v>
      </c>
      <c r="N44" s="77">
        <f t="shared" si="16"/>
        <v>986.0999999999999</v>
      </c>
      <c r="O44" s="81">
        <v>902.8</v>
      </c>
      <c r="P44" s="70">
        <f>520.3-29</f>
        <v>491.29999999999995</v>
      </c>
      <c r="Q44" s="108"/>
      <c r="R44" s="109">
        <v>29</v>
      </c>
      <c r="S44" s="35"/>
      <c r="T44" s="35"/>
      <c r="U44" s="24"/>
      <c r="V44" s="24">
        <v>72.3</v>
      </c>
      <c r="W44" s="24">
        <v>11</v>
      </c>
      <c r="X44" s="24">
        <f t="shared" si="17"/>
        <v>93.99</v>
      </c>
      <c r="Y44" s="24">
        <f t="shared" si="20"/>
        <v>104.99</v>
      </c>
      <c r="Z44" s="124">
        <f t="shared" si="18"/>
        <v>0</v>
      </c>
      <c r="AA44" s="137"/>
      <c r="AB44" s="142"/>
    </row>
    <row r="45" spans="1:28" ht="13.5" customHeight="1">
      <c r="A45" s="27">
        <v>29</v>
      </c>
      <c r="B45" s="24">
        <v>1981</v>
      </c>
      <c r="C45" s="24" t="s">
        <v>66</v>
      </c>
      <c r="D45" s="26" t="s">
        <v>67</v>
      </c>
      <c r="E45" s="30">
        <v>62</v>
      </c>
      <c r="F45" s="30" t="s">
        <v>39</v>
      </c>
      <c r="G45" s="30" t="s">
        <v>71</v>
      </c>
      <c r="H45" s="25">
        <v>2</v>
      </c>
      <c r="I45" s="24">
        <v>1</v>
      </c>
      <c r="J45" s="24">
        <v>2</v>
      </c>
      <c r="K45" s="24"/>
      <c r="L45" s="48">
        <v>12</v>
      </c>
      <c r="M45" s="24">
        <v>36</v>
      </c>
      <c r="N45" s="77">
        <f t="shared" si="16"/>
        <v>653.7</v>
      </c>
      <c r="O45" s="81">
        <v>599.9</v>
      </c>
      <c r="P45" s="70">
        <v>344.5</v>
      </c>
      <c r="Q45" s="108"/>
      <c r="R45" s="109"/>
      <c r="S45" s="35"/>
      <c r="T45" s="35"/>
      <c r="U45" s="24"/>
      <c r="V45" s="24">
        <v>47.6</v>
      </c>
      <c r="W45" s="24">
        <v>6.2</v>
      </c>
      <c r="X45" s="24">
        <f t="shared" si="17"/>
        <v>61.88</v>
      </c>
      <c r="Y45" s="24">
        <f t="shared" si="20"/>
        <v>68.08</v>
      </c>
      <c r="Z45" s="124">
        <f t="shared" si="18"/>
        <v>0</v>
      </c>
      <c r="AA45" s="137"/>
      <c r="AB45" s="142"/>
    </row>
    <row r="46" spans="1:28" ht="25.5">
      <c r="A46" s="27">
        <v>30</v>
      </c>
      <c r="B46" s="24">
        <v>1992</v>
      </c>
      <c r="C46" s="24" t="s">
        <v>66</v>
      </c>
      <c r="D46" s="26" t="s">
        <v>53</v>
      </c>
      <c r="E46" s="30">
        <v>41</v>
      </c>
      <c r="F46" s="30" t="s">
        <v>39</v>
      </c>
      <c r="G46" s="30" t="s">
        <v>73</v>
      </c>
      <c r="H46" s="25">
        <v>5</v>
      </c>
      <c r="I46" s="24">
        <v>1</v>
      </c>
      <c r="J46" s="24">
        <v>4</v>
      </c>
      <c r="K46" s="24"/>
      <c r="L46" s="48">
        <v>60</v>
      </c>
      <c r="M46" s="24">
        <v>174</v>
      </c>
      <c r="N46" s="77">
        <f t="shared" si="16"/>
        <v>3295.7</v>
      </c>
      <c r="O46" s="81">
        <v>2970.7</v>
      </c>
      <c r="P46" s="70">
        <f>1712.1-42.6-0.3</f>
        <v>1669.2</v>
      </c>
      <c r="Q46" s="108"/>
      <c r="R46" s="109"/>
      <c r="S46" s="35"/>
      <c r="T46" s="35"/>
      <c r="U46" s="24"/>
      <c r="V46" s="24">
        <v>280.9</v>
      </c>
      <c r="W46" s="24">
        <v>44.1</v>
      </c>
      <c r="X46" s="24">
        <f t="shared" si="17"/>
        <v>365.16999999999996</v>
      </c>
      <c r="Y46" s="124">
        <f>X46/H46*3+W46</f>
        <v>263.202</v>
      </c>
      <c r="Z46" s="124">
        <f t="shared" si="18"/>
        <v>146.06799999999998</v>
      </c>
      <c r="AA46" s="143">
        <v>201.6</v>
      </c>
      <c r="AB46" s="144"/>
    </row>
    <row r="47" spans="1:28" ht="12.75">
      <c r="A47" s="27"/>
      <c r="B47" s="24"/>
      <c r="C47" s="24"/>
      <c r="D47" s="25"/>
      <c r="E47" s="30"/>
      <c r="F47" s="30"/>
      <c r="G47" s="25"/>
      <c r="H47" s="25"/>
      <c r="I47" s="33">
        <f>SUM(I37:I46)</f>
        <v>10</v>
      </c>
      <c r="J47" s="33">
        <f>SUM(J37:J46)</f>
        <v>33</v>
      </c>
      <c r="K47" s="33">
        <f aca="true" t="shared" si="21" ref="K47:AB47">SUM(K37:K46)</f>
        <v>0</v>
      </c>
      <c r="L47" s="33">
        <f t="shared" si="21"/>
        <v>374</v>
      </c>
      <c r="M47" s="33">
        <f t="shared" si="21"/>
        <v>984</v>
      </c>
      <c r="N47" s="82">
        <f t="shared" si="21"/>
        <v>20706.800000000003</v>
      </c>
      <c r="O47" s="83">
        <f t="shared" si="21"/>
        <v>18129</v>
      </c>
      <c r="P47" s="84">
        <f t="shared" si="21"/>
        <v>10368.400000000001</v>
      </c>
      <c r="Q47" s="112">
        <f t="shared" si="21"/>
        <v>103.8</v>
      </c>
      <c r="R47" s="113">
        <f t="shared" si="21"/>
        <v>87</v>
      </c>
      <c r="S47" s="33">
        <f t="shared" si="21"/>
        <v>0</v>
      </c>
      <c r="T47" s="33">
        <f t="shared" si="21"/>
        <v>0</v>
      </c>
      <c r="U47" s="33">
        <f t="shared" si="21"/>
        <v>480</v>
      </c>
      <c r="V47" s="125">
        <f t="shared" si="21"/>
        <v>1682.6</v>
      </c>
      <c r="W47" s="33">
        <f t="shared" si="21"/>
        <v>311.40000000000003</v>
      </c>
      <c r="X47" s="33">
        <f t="shared" si="21"/>
        <v>2187.38</v>
      </c>
      <c r="Y47" s="33">
        <f t="shared" si="21"/>
        <v>1725.2540000000001</v>
      </c>
      <c r="Z47" s="146">
        <f t="shared" si="21"/>
        <v>773.5260000000001</v>
      </c>
      <c r="AA47" s="147">
        <f t="shared" si="21"/>
        <v>1099.7</v>
      </c>
      <c r="AB47" s="148">
        <f t="shared" si="21"/>
        <v>0</v>
      </c>
    </row>
    <row r="48" spans="1:28" ht="12.75">
      <c r="A48" s="27"/>
      <c r="B48" s="24"/>
      <c r="C48" s="24"/>
      <c r="D48" s="30" t="s">
        <v>74</v>
      </c>
      <c r="E48" s="30"/>
      <c r="F48" s="30"/>
      <c r="G48" s="25"/>
      <c r="H48" s="25"/>
      <c r="I48" s="24"/>
      <c r="J48" s="24"/>
      <c r="K48" s="24"/>
      <c r="L48" s="47"/>
      <c r="M48" s="24"/>
      <c r="N48" s="74"/>
      <c r="O48" s="81"/>
      <c r="P48" s="70"/>
      <c r="Q48" s="108"/>
      <c r="R48" s="109"/>
      <c r="S48" s="35"/>
      <c r="T48" s="35"/>
      <c r="U48" s="24"/>
      <c r="V48" s="24"/>
      <c r="W48" s="24"/>
      <c r="X48" s="24"/>
      <c r="Y48" s="24"/>
      <c r="Z48" s="124"/>
      <c r="AA48" s="149"/>
      <c r="AB48" s="150"/>
    </row>
    <row r="49" spans="1:28" ht="15" customHeight="1">
      <c r="A49" s="27">
        <v>31</v>
      </c>
      <c r="B49" s="24">
        <v>1995</v>
      </c>
      <c r="C49" s="24"/>
      <c r="D49" s="26" t="s">
        <v>75</v>
      </c>
      <c r="E49" s="30" t="s">
        <v>76</v>
      </c>
      <c r="F49" s="30" t="s">
        <v>39</v>
      </c>
      <c r="G49" s="30" t="s">
        <v>68</v>
      </c>
      <c r="H49" s="25">
        <v>3</v>
      </c>
      <c r="I49" s="24">
        <v>1</v>
      </c>
      <c r="J49" s="24">
        <v>2</v>
      </c>
      <c r="K49" s="24"/>
      <c r="L49" s="48">
        <v>18</v>
      </c>
      <c r="M49" s="24">
        <v>55</v>
      </c>
      <c r="N49" s="77">
        <f aca="true" t="shared" si="22" ref="N49:N53">O49+Q49+S49+U49+V49+W49</f>
        <v>939.2</v>
      </c>
      <c r="O49" s="81">
        <v>839.6</v>
      </c>
      <c r="P49" s="70">
        <v>485.3</v>
      </c>
      <c r="Q49" s="108"/>
      <c r="R49" s="109"/>
      <c r="S49" s="35"/>
      <c r="T49" s="35"/>
      <c r="U49" s="24"/>
      <c r="V49" s="24">
        <v>86.2</v>
      </c>
      <c r="W49" s="24">
        <v>13.4</v>
      </c>
      <c r="X49" s="122">
        <f aca="true" t="shared" si="23" ref="X49:X53">V49*1.3</f>
        <v>112.06</v>
      </c>
      <c r="Y49" s="124">
        <f aca="true" t="shared" si="24" ref="Y49:Y53">W49+X49</f>
        <v>125.46000000000001</v>
      </c>
      <c r="Z49" s="124">
        <f aca="true" t="shared" si="25" ref="Z49:Z53">W49+X49-Y49</f>
        <v>0</v>
      </c>
      <c r="AA49" s="151"/>
      <c r="AB49" s="152">
        <v>63.5</v>
      </c>
    </row>
    <row r="50" spans="1:28" ht="12.75">
      <c r="A50" s="32"/>
      <c r="B50" s="33"/>
      <c r="C50" s="33"/>
      <c r="D50" s="30"/>
      <c r="E50" s="30"/>
      <c r="F50" s="30"/>
      <c r="G50" s="30"/>
      <c r="H50" s="30"/>
      <c r="I50" s="33">
        <f aca="true" t="shared" si="26" ref="I50:AB50">SUM(I49)</f>
        <v>1</v>
      </c>
      <c r="J50" s="33">
        <f t="shared" si="26"/>
        <v>2</v>
      </c>
      <c r="K50" s="33">
        <f t="shared" si="26"/>
        <v>0</v>
      </c>
      <c r="L50" s="49">
        <f t="shared" si="26"/>
        <v>18</v>
      </c>
      <c r="M50" s="33">
        <f t="shared" si="26"/>
        <v>55</v>
      </c>
      <c r="N50" s="85">
        <f t="shared" si="26"/>
        <v>939.2</v>
      </c>
      <c r="O50" s="86">
        <f t="shared" si="26"/>
        <v>839.6</v>
      </c>
      <c r="P50" s="87">
        <f t="shared" si="26"/>
        <v>485.3</v>
      </c>
      <c r="Q50" s="111">
        <f t="shared" si="26"/>
        <v>0</v>
      </c>
      <c r="R50" s="33">
        <f t="shared" si="26"/>
        <v>0</v>
      </c>
      <c r="S50" s="33">
        <f t="shared" si="26"/>
        <v>0</v>
      </c>
      <c r="T50" s="33">
        <f t="shared" si="26"/>
        <v>0</v>
      </c>
      <c r="U50" s="33">
        <f t="shared" si="26"/>
        <v>0</v>
      </c>
      <c r="V50" s="33">
        <f t="shared" si="26"/>
        <v>86.2</v>
      </c>
      <c r="W50" s="33">
        <f t="shared" si="26"/>
        <v>13.4</v>
      </c>
      <c r="X50" s="83">
        <f t="shared" si="26"/>
        <v>112.06</v>
      </c>
      <c r="Y50" s="91">
        <f t="shared" si="26"/>
        <v>125.46000000000001</v>
      </c>
      <c r="Z50" s="91">
        <f t="shared" si="26"/>
        <v>0</v>
      </c>
      <c r="AA50" s="153">
        <f t="shared" si="26"/>
        <v>0</v>
      </c>
      <c r="AB50" s="154">
        <f t="shared" si="26"/>
        <v>63.5</v>
      </c>
    </row>
    <row r="51" spans="1:28" ht="12.75">
      <c r="A51" s="27"/>
      <c r="B51" s="24"/>
      <c r="C51" s="24"/>
      <c r="D51" s="30" t="s">
        <v>77</v>
      </c>
      <c r="E51" s="30"/>
      <c r="F51" s="30"/>
      <c r="G51" s="25"/>
      <c r="H51" s="25"/>
      <c r="I51" s="24"/>
      <c r="J51" s="24"/>
      <c r="K51" s="24"/>
      <c r="L51" s="48"/>
      <c r="M51" s="24"/>
      <c r="N51" s="74"/>
      <c r="O51" s="81"/>
      <c r="P51" s="70"/>
      <c r="Q51" s="108"/>
      <c r="R51" s="109"/>
      <c r="S51" s="35"/>
      <c r="T51" s="35"/>
      <c r="U51" s="24"/>
      <c r="V51" s="24"/>
      <c r="W51" s="24"/>
      <c r="X51" s="24"/>
      <c r="Y51" s="24"/>
      <c r="Z51" s="124"/>
      <c r="AA51" s="149"/>
      <c r="AB51" s="150"/>
    </row>
    <row r="52" spans="1:28" ht="15.75" customHeight="1">
      <c r="A52" s="27">
        <v>32</v>
      </c>
      <c r="B52" s="24">
        <v>1989</v>
      </c>
      <c r="C52" s="24"/>
      <c r="D52" s="26" t="s">
        <v>78</v>
      </c>
      <c r="E52" s="30" t="s">
        <v>79</v>
      </c>
      <c r="F52" s="30" t="s">
        <v>80</v>
      </c>
      <c r="G52" s="30" t="s">
        <v>81</v>
      </c>
      <c r="H52" s="25">
        <v>3</v>
      </c>
      <c r="I52" s="24">
        <v>1</v>
      </c>
      <c r="J52" s="24">
        <v>3</v>
      </c>
      <c r="K52" s="24"/>
      <c r="L52" s="48">
        <v>27</v>
      </c>
      <c r="M52" s="24">
        <v>70</v>
      </c>
      <c r="N52" s="67">
        <f t="shared" si="22"/>
        <v>1341.42</v>
      </c>
      <c r="O52" s="68">
        <v>1209.92</v>
      </c>
      <c r="P52" s="70">
        <v>678.6</v>
      </c>
      <c r="Q52" s="108"/>
      <c r="R52" s="109"/>
      <c r="S52" s="35"/>
      <c r="T52" s="35"/>
      <c r="U52" s="24"/>
      <c r="V52" s="24">
        <v>120.5</v>
      </c>
      <c r="W52" s="24">
        <v>11</v>
      </c>
      <c r="X52" s="122">
        <f t="shared" si="23"/>
        <v>156.65</v>
      </c>
      <c r="Y52" s="122">
        <f t="shared" si="24"/>
        <v>167.65</v>
      </c>
      <c r="Z52" s="124">
        <f t="shared" si="25"/>
        <v>0</v>
      </c>
      <c r="AA52" s="155"/>
      <c r="AB52" s="127">
        <v>72.1</v>
      </c>
    </row>
    <row r="53" spans="1:28" ht="15" customHeight="1">
      <c r="A53" s="27">
        <v>33</v>
      </c>
      <c r="B53" s="24">
        <v>1990</v>
      </c>
      <c r="C53" s="24"/>
      <c r="D53" s="26" t="s">
        <v>78</v>
      </c>
      <c r="E53" s="30" t="s">
        <v>82</v>
      </c>
      <c r="F53" s="30" t="s">
        <v>80</v>
      </c>
      <c r="G53" s="30" t="s">
        <v>81</v>
      </c>
      <c r="H53" s="25">
        <v>3</v>
      </c>
      <c r="I53" s="24">
        <v>1</v>
      </c>
      <c r="J53" s="24">
        <v>3</v>
      </c>
      <c r="K53" s="24"/>
      <c r="L53" s="48">
        <v>27</v>
      </c>
      <c r="M53" s="24">
        <v>73</v>
      </c>
      <c r="N53" s="67">
        <f t="shared" si="22"/>
        <v>1333.8000000000002</v>
      </c>
      <c r="O53" s="68">
        <v>1207.2</v>
      </c>
      <c r="P53" s="70">
        <f>669.4-0.2-0.4</f>
        <v>668.8</v>
      </c>
      <c r="Q53" s="108"/>
      <c r="R53" s="109"/>
      <c r="S53" s="35"/>
      <c r="T53" s="35"/>
      <c r="U53" s="24"/>
      <c r="V53" s="24">
        <v>119.7</v>
      </c>
      <c r="W53" s="24">
        <v>6.9</v>
      </c>
      <c r="X53" s="122">
        <f t="shared" si="23"/>
        <v>155.61</v>
      </c>
      <c r="Y53" s="122">
        <f t="shared" si="24"/>
        <v>162.51000000000002</v>
      </c>
      <c r="Z53" s="124">
        <f t="shared" si="25"/>
        <v>0</v>
      </c>
      <c r="AA53" s="156"/>
      <c r="AB53" s="157">
        <v>73</v>
      </c>
    </row>
    <row r="54" spans="1:28" ht="12.75">
      <c r="A54" s="27"/>
      <c r="B54" s="24"/>
      <c r="C54" s="24"/>
      <c r="D54" s="30"/>
      <c r="E54" s="30"/>
      <c r="F54" s="30"/>
      <c r="G54" s="25"/>
      <c r="H54" s="25"/>
      <c r="I54" s="33">
        <f aca="true" t="shared" si="27" ref="I54:AB54">SUM(I52:I53)</f>
        <v>2</v>
      </c>
      <c r="J54" s="33">
        <f t="shared" si="27"/>
        <v>6</v>
      </c>
      <c r="K54" s="33">
        <f t="shared" si="27"/>
        <v>0</v>
      </c>
      <c r="L54" s="49">
        <f t="shared" si="27"/>
        <v>54</v>
      </c>
      <c r="M54" s="33">
        <f t="shared" si="27"/>
        <v>143</v>
      </c>
      <c r="N54" s="88">
        <f t="shared" si="27"/>
        <v>2675.2200000000003</v>
      </c>
      <c r="O54" s="89">
        <f t="shared" si="27"/>
        <v>2417.12</v>
      </c>
      <c r="P54" s="87">
        <f t="shared" si="27"/>
        <v>1347.4</v>
      </c>
      <c r="Q54" s="111">
        <f t="shared" si="27"/>
        <v>0</v>
      </c>
      <c r="R54" s="33">
        <f t="shared" si="27"/>
        <v>0</v>
      </c>
      <c r="S54" s="33">
        <f t="shared" si="27"/>
        <v>0</v>
      </c>
      <c r="T54" s="33">
        <f t="shared" si="27"/>
        <v>0</v>
      </c>
      <c r="U54" s="33">
        <f t="shared" si="27"/>
        <v>0</v>
      </c>
      <c r="V54" s="33">
        <f t="shared" si="27"/>
        <v>240.2</v>
      </c>
      <c r="W54" s="33">
        <f t="shared" si="27"/>
        <v>17.9</v>
      </c>
      <c r="X54" s="83">
        <f t="shared" si="27"/>
        <v>312.26</v>
      </c>
      <c r="Y54" s="125">
        <f t="shared" si="27"/>
        <v>330.16</v>
      </c>
      <c r="Z54" s="91">
        <f t="shared" si="27"/>
        <v>0</v>
      </c>
      <c r="AA54" s="158">
        <f t="shared" si="27"/>
        <v>0</v>
      </c>
      <c r="AB54" s="159">
        <f t="shared" si="27"/>
        <v>145.1</v>
      </c>
    </row>
    <row r="55" spans="1:28" ht="12.75">
      <c r="A55" s="34"/>
      <c r="B55" s="24"/>
      <c r="C55" s="35"/>
      <c r="D55" s="33" t="s">
        <v>83</v>
      </c>
      <c r="E55" s="35"/>
      <c r="F55" s="35"/>
      <c r="G55" s="24"/>
      <c r="H55" s="35"/>
      <c r="I55" s="35"/>
      <c r="J55" s="35"/>
      <c r="K55" s="35"/>
      <c r="L55" s="35"/>
      <c r="M55" s="35"/>
      <c r="N55" s="90"/>
      <c r="O55" s="35"/>
      <c r="P55" s="76"/>
      <c r="Q55" s="104"/>
      <c r="R55" s="35"/>
      <c r="S55" s="35"/>
      <c r="T55" s="35"/>
      <c r="U55" s="35"/>
      <c r="V55" s="35"/>
      <c r="W55" s="35"/>
      <c r="X55" s="35"/>
      <c r="Y55" s="35"/>
      <c r="Z55" s="35"/>
      <c r="AA55" s="104"/>
      <c r="AB55" s="76"/>
    </row>
    <row r="56" spans="1:28" ht="12.75">
      <c r="A56" s="27">
        <v>34</v>
      </c>
      <c r="B56" s="24">
        <v>2008</v>
      </c>
      <c r="C56" s="24"/>
      <c r="D56" s="26" t="s">
        <v>84</v>
      </c>
      <c r="E56" s="30">
        <v>46</v>
      </c>
      <c r="F56" s="30" t="s">
        <v>39</v>
      </c>
      <c r="G56" s="30" t="s">
        <v>85</v>
      </c>
      <c r="H56" s="25">
        <v>4</v>
      </c>
      <c r="I56" s="24">
        <v>1</v>
      </c>
      <c r="J56" s="24">
        <v>3</v>
      </c>
      <c r="K56" s="24"/>
      <c r="L56" s="48">
        <v>47</v>
      </c>
      <c r="M56" s="24">
        <v>98</v>
      </c>
      <c r="N56" s="67">
        <f aca="true" t="shared" si="28" ref="N56:N62">O56+Q56+S56+U56+V56+W56</f>
        <v>2628.2</v>
      </c>
      <c r="O56" s="68">
        <v>2092</v>
      </c>
      <c r="P56" s="70">
        <v>1503.3</v>
      </c>
      <c r="Q56" s="108"/>
      <c r="R56" s="109"/>
      <c r="S56" s="35"/>
      <c r="T56" s="35"/>
      <c r="U56" s="24">
        <v>150.7</v>
      </c>
      <c r="V56" s="24">
        <v>228.6</v>
      </c>
      <c r="W56" s="24">
        <v>156.9</v>
      </c>
      <c r="X56" s="24">
        <f>V56*1.3</f>
        <v>297.18</v>
      </c>
      <c r="Y56" s="24">
        <f>W56+X56</f>
        <v>454.08000000000004</v>
      </c>
      <c r="Z56" s="124">
        <f>W56+X56-Y56</f>
        <v>0</v>
      </c>
      <c r="AA56" s="151"/>
      <c r="AB56" s="152"/>
    </row>
    <row r="57" spans="1:28" ht="12.75">
      <c r="A57" s="27">
        <v>35</v>
      </c>
      <c r="B57" s="24">
        <v>2008</v>
      </c>
      <c r="C57" s="24"/>
      <c r="D57" s="26" t="s">
        <v>84</v>
      </c>
      <c r="E57" s="30">
        <v>41</v>
      </c>
      <c r="F57" s="30" t="s">
        <v>39</v>
      </c>
      <c r="G57" s="30" t="s">
        <v>85</v>
      </c>
      <c r="H57" s="25">
        <v>4</v>
      </c>
      <c r="I57" s="24">
        <v>1</v>
      </c>
      <c r="J57" s="24">
        <v>3</v>
      </c>
      <c r="K57" s="24"/>
      <c r="L57" s="48">
        <v>36</v>
      </c>
      <c r="M57" s="24">
        <v>64</v>
      </c>
      <c r="N57" s="67">
        <f t="shared" si="28"/>
        <v>3396.7</v>
      </c>
      <c r="O57" s="68">
        <v>2297.8</v>
      </c>
      <c r="P57" s="70">
        <v>1246</v>
      </c>
      <c r="Q57" s="108"/>
      <c r="R57" s="109"/>
      <c r="S57" s="24">
        <f>785.5+4</f>
        <v>789.5</v>
      </c>
      <c r="T57" s="35"/>
      <c r="U57" s="24"/>
      <c r="V57" s="24">
        <f>11.6+11.6+11.6+11.6+11.6+11.6+11.6+11.6+11.6+72.3</f>
        <v>176.7</v>
      </c>
      <c r="W57" s="126">
        <f>45.6+29.2+28.7+29.2</f>
        <v>132.7</v>
      </c>
      <c r="X57" s="24">
        <f>V57*1.3</f>
        <v>229.70999999999998</v>
      </c>
      <c r="Y57" s="126">
        <f>W57+X57</f>
        <v>362.40999999999997</v>
      </c>
      <c r="Z57" s="124">
        <f>W57+X57-Y57</f>
        <v>0</v>
      </c>
      <c r="AA57" s="160">
        <v>111.6</v>
      </c>
      <c r="AB57" s="161"/>
    </row>
    <row r="58" spans="1:28" ht="12.75">
      <c r="A58" s="32"/>
      <c r="B58" s="33"/>
      <c r="C58" s="33"/>
      <c r="D58" s="30"/>
      <c r="E58" s="30"/>
      <c r="F58" s="30"/>
      <c r="G58" s="30"/>
      <c r="H58" s="30"/>
      <c r="I58" s="33">
        <f aca="true" t="shared" si="29" ref="I58:M58">SUM(I56:I57)</f>
        <v>2</v>
      </c>
      <c r="J58" s="33">
        <f t="shared" si="29"/>
        <v>6</v>
      </c>
      <c r="K58" s="33"/>
      <c r="L58" s="49">
        <f t="shared" si="29"/>
        <v>83</v>
      </c>
      <c r="M58" s="33">
        <f t="shared" si="29"/>
        <v>162</v>
      </c>
      <c r="N58" s="67">
        <f>N56+N57</f>
        <v>6024.9</v>
      </c>
      <c r="O58" s="89">
        <f>SUM(O56:O57)</f>
        <v>4389.8</v>
      </c>
      <c r="P58" s="87">
        <f>SUM(P56:P57)</f>
        <v>2749.3</v>
      </c>
      <c r="Q58" s="112"/>
      <c r="R58" s="113"/>
      <c r="S58" s="107">
        <f>SUM(S46:S57)</f>
        <v>789.5</v>
      </c>
      <c r="T58" s="107"/>
      <c r="U58" s="89">
        <f>U56+U57</f>
        <v>150.7</v>
      </c>
      <c r="V58" s="125">
        <f aca="true" t="shared" si="30" ref="V58:Y58">SUM(V56:V57)</f>
        <v>405.29999999999995</v>
      </c>
      <c r="W58" s="33">
        <f t="shared" si="30"/>
        <v>289.6</v>
      </c>
      <c r="X58" s="33">
        <f t="shared" si="30"/>
        <v>526.89</v>
      </c>
      <c r="Y58" s="33">
        <f t="shared" si="30"/>
        <v>816.49</v>
      </c>
      <c r="Z58" s="91">
        <f>SUM(Z56)</f>
        <v>0</v>
      </c>
      <c r="AA58" s="162">
        <f>SUM(AA56:AA57)</f>
        <v>111.6</v>
      </c>
      <c r="AB58" s="163"/>
    </row>
    <row r="59" spans="1:28" ht="12.75">
      <c r="A59" s="27"/>
      <c r="B59" s="24"/>
      <c r="C59" s="24"/>
      <c r="D59" s="33" t="s">
        <v>86</v>
      </c>
      <c r="E59" s="30"/>
      <c r="F59" s="30"/>
      <c r="G59" s="25"/>
      <c r="H59" s="25"/>
      <c r="I59" s="24"/>
      <c r="J59" s="24"/>
      <c r="K59" s="24"/>
      <c r="L59" s="47"/>
      <c r="M59" s="24"/>
      <c r="N59" s="74"/>
      <c r="O59" s="81"/>
      <c r="P59" s="70"/>
      <c r="Q59" s="108"/>
      <c r="R59" s="109"/>
      <c r="S59" s="35"/>
      <c r="T59" s="35"/>
      <c r="U59" s="24"/>
      <c r="V59" s="24"/>
      <c r="W59" s="24"/>
      <c r="X59" s="24"/>
      <c r="Y59" s="24"/>
      <c r="Z59" s="124"/>
      <c r="AA59" s="149"/>
      <c r="AB59" s="150"/>
    </row>
    <row r="60" spans="1:28" ht="12.75">
      <c r="A60" s="27">
        <v>36</v>
      </c>
      <c r="B60" s="24">
        <v>1982</v>
      </c>
      <c r="C60" s="33"/>
      <c r="D60" s="26" t="s">
        <v>87</v>
      </c>
      <c r="E60" s="30" t="s">
        <v>88</v>
      </c>
      <c r="F60" s="30" t="s">
        <v>39</v>
      </c>
      <c r="G60" s="30">
        <v>1</v>
      </c>
      <c r="H60" s="30">
        <v>8</v>
      </c>
      <c r="I60" s="33">
        <v>1</v>
      </c>
      <c r="J60" s="33">
        <v>1</v>
      </c>
      <c r="K60" s="33"/>
      <c r="L60" s="48">
        <v>103</v>
      </c>
      <c r="M60" s="24">
        <v>241</v>
      </c>
      <c r="N60" s="67">
        <f t="shared" si="28"/>
        <v>4857.79</v>
      </c>
      <c r="O60" s="68">
        <v>3101.19</v>
      </c>
      <c r="P60" s="70">
        <v>3064.1</v>
      </c>
      <c r="Q60" s="112"/>
      <c r="R60" s="113"/>
      <c r="S60" s="107"/>
      <c r="T60" s="114"/>
      <c r="U60" s="24">
        <v>550.8</v>
      </c>
      <c r="V60" s="125"/>
      <c r="W60" s="91">
        <v>1205.8</v>
      </c>
      <c r="X60" s="33"/>
      <c r="Y60" s="33"/>
      <c r="Z60" s="91"/>
      <c r="AA60" s="162"/>
      <c r="AB60" s="163"/>
    </row>
    <row r="61" spans="1:28" ht="12.75">
      <c r="A61" s="27">
        <v>37</v>
      </c>
      <c r="B61" s="24">
        <v>1986</v>
      </c>
      <c r="C61" s="33"/>
      <c r="D61" s="26" t="s">
        <v>89</v>
      </c>
      <c r="E61" s="30">
        <v>61</v>
      </c>
      <c r="F61" s="30" t="s">
        <v>39</v>
      </c>
      <c r="G61" s="30">
        <v>1</v>
      </c>
      <c r="H61" s="30">
        <v>8</v>
      </c>
      <c r="I61" s="33">
        <v>1</v>
      </c>
      <c r="J61" s="33">
        <v>1</v>
      </c>
      <c r="K61" s="33"/>
      <c r="L61" s="48"/>
      <c r="M61" s="24">
        <v>232</v>
      </c>
      <c r="N61" s="67">
        <f t="shared" si="28"/>
        <v>5129.45</v>
      </c>
      <c r="O61" s="68">
        <v>3023.85</v>
      </c>
      <c r="P61" s="70">
        <v>1930.1</v>
      </c>
      <c r="Q61" s="112"/>
      <c r="R61" s="113"/>
      <c r="S61" s="107"/>
      <c r="T61" s="114"/>
      <c r="U61" s="24">
        <v>469.5</v>
      </c>
      <c r="V61" s="125"/>
      <c r="W61" s="91">
        <v>1636.1</v>
      </c>
      <c r="X61" s="33"/>
      <c r="Y61" s="33"/>
      <c r="Z61" s="91"/>
      <c r="AA61" s="33"/>
      <c r="AB61" s="33"/>
    </row>
    <row r="62" spans="1:28" ht="12.75">
      <c r="A62" s="27">
        <v>38</v>
      </c>
      <c r="B62" s="24">
        <v>1987</v>
      </c>
      <c r="C62" s="24"/>
      <c r="D62" s="26" t="s">
        <v>38</v>
      </c>
      <c r="E62" s="30">
        <v>18</v>
      </c>
      <c r="F62" s="30" t="s">
        <v>39</v>
      </c>
      <c r="G62" s="25">
        <v>1</v>
      </c>
      <c r="H62" s="25">
        <v>8</v>
      </c>
      <c r="I62" s="24">
        <v>1</v>
      </c>
      <c r="J62" s="24">
        <v>1</v>
      </c>
      <c r="K62" s="24"/>
      <c r="L62" s="48">
        <v>91</v>
      </c>
      <c r="M62" s="24">
        <v>235</v>
      </c>
      <c r="N62" s="67">
        <f t="shared" si="28"/>
        <v>4948.48</v>
      </c>
      <c r="O62" s="68">
        <v>2790.6</v>
      </c>
      <c r="P62" s="70">
        <v>1870.7</v>
      </c>
      <c r="Q62" s="108"/>
      <c r="R62" s="109"/>
      <c r="S62" s="35"/>
      <c r="T62" s="35"/>
      <c r="U62" s="24">
        <v>475.1</v>
      </c>
      <c r="V62" s="24"/>
      <c r="W62" s="124">
        <v>1682.78</v>
      </c>
      <c r="X62" s="24"/>
      <c r="Y62" s="24"/>
      <c r="Z62" s="124"/>
      <c r="AA62" s="24"/>
      <c r="AB62" s="24"/>
    </row>
    <row r="63" spans="1:28" ht="12.75">
      <c r="A63" s="27"/>
      <c r="B63" s="24"/>
      <c r="C63" s="24"/>
      <c r="D63" s="26"/>
      <c r="E63" s="30"/>
      <c r="F63" s="30"/>
      <c r="G63" s="25"/>
      <c r="H63" s="25"/>
      <c r="I63" s="33">
        <f aca="true" t="shared" si="31" ref="I63:P63">SUM(I60:I62)</f>
        <v>3</v>
      </c>
      <c r="J63" s="33">
        <f t="shared" si="31"/>
        <v>3</v>
      </c>
      <c r="K63" s="33">
        <f t="shared" si="31"/>
        <v>0</v>
      </c>
      <c r="L63" s="33">
        <f t="shared" si="31"/>
        <v>194</v>
      </c>
      <c r="M63" s="33">
        <f t="shared" si="31"/>
        <v>708</v>
      </c>
      <c r="N63" s="82">
        <f t="shared" si="31"/>
        <v>14935.72</v>
      </c>
      <c r="O63" s="91">
        <f t="shared" si="31"/>
        <v>8915.64</v>
      </c>
      <c r="P63" s="84">
        <f t="shared" si="31"/>
        <v>6864.9</v>
      </c>
      <c r="Q63" s="108"/>
      <c r="R63" s="109"/>
      <c r="S63" s="35"/>
      <c r="T63" s="35"/>
      <c r="U63" s="127">
        <f>SUM(U60:U62)</f>
        <v>1495.4</v>
      </c>
      <c r="V63" s="24"/>
      <c r="W63" s="24"/>
      <c r="X63" s="24"/>
      <c r="Y63" s="24"/>
      <c r="Z63" s="124"/>
      <c r="AA63" s="24"/>
      <c r="AB63" s="24"/>
    </row>
    <row r="64" spans="1:28" ht="12.75">
      <c r="A64" s="32"/>
      <c r="B64" s="33"/>
      <c r="C64" s="33"/>
      <c r="D64" s="36" t="s">
        <v>90</v>
      </c>
      <c r="E64" s="30"/>
      <c r="F64" s="30"/>
      <c r="G64" s="30"/>
      <c r="H64" s="30"/>
      <c r="I64" s="50">
        <f aca="true" t="shared" si="32" ref="I64:P64">I22+I29+I35+I47+I50+I54+I58+I63</f>
        <v>38</v>
      </c>
      <c r="J64" s="50">
        <f t="shared" si="32"/>
        <v>147</v>
      </c>
      <c r="K64" s="50">
        <f t="shared" si="32"/>
        <v>2</v>
      </c>
      <c r="L64" s="50">
        <f t="shared" si="32"/>
        <v>2112</v>
      </c>
      <c r="M64" s="50">
        <f t="shared" si="32"/>
        <v>5809</v>
      </c>
      <c r="N64" s="92">
        <f t="shared" si="32"/>
        <v>122525.85</v>
      </c>
      <c r="O64" s="93">
        <f t="shared" si="32"/>
        <v>102767.67000000001</v>
      </c>
      <c r="P64" s="72">
        <f t="shared" si="32"/>
        <v>61869.80000000001</v>
      </c>
      <c r="Q64" s="115">
        <f aca="true" t="shared" si="33" ref="Q64:AB64">Q29+Q22+Q35+Q47+Q50+Q54+Q58+Q60+Q61</f>
        <v>152.2</v>
      </c>
      <c r="R64" s="50">
        <f t="shared" si="33"/>
        <v>116</v>
      </c>
      <c r="S64" s="50">
        <f t="shared" si="33"/>
        <v>1138.7</v>
      </c>
      <c r="T64" s="50">
        <f t="shared" si="33"/>
        <v>0</v>
      </c>
      <c r="U64" s="93">
        <f>U29+U22+U35+U47+U50+U54+U58+U63</f>
        <v>2393.3</v>
      </c>
      <c r="V64" s="50">
        <f t="shared" si="33"/>
        <v>8990</v>
      </c>
      <c r="W64" s="50">
        <f t="shared" si="33"/>
        <v>5401.200000000001</v>
      </c>
      <c r="X64" s="50">
        <f t="shared" si="33"/>
        <v>11687</v>
      </c>
      <c r="Y64" s="50">
        <f t="shared" si="33"/>
        <v>10846.774</v>
      </c>
      <c r="Z64" s="50">
        <f t="shared" si="33"/>
        <v>3399.526</v>
      </c>
      <c r="AA64" s="50">
        <f t="shared" si="33"/>
        <v>2263.7000000000003</v>
      </c>
      <c r="AB64" s="164">
        <f t="shared" si="33"/>
        <v>352.75</v>
      </c>
    </row>
    <row r="65" spans="1:28" ht="12.75">
      <c r="A65" s="165"/>
      <c r="B65" s="48"/>
      <c r="C65" s="48"/>
      <c r="D65" s="166" t="s">
        <v>91</v>
      </c>
      <c r="E65" s="170"/>
      <c r="F65" s="170"/>
      <c r="G65" s="170"/>
      <c r="H65" s="170"/>
      <c r="I65" s="170"/>
      <c r="J65" s="170"/>
      <c r="K65" s="170"/>
      <c r="L65" s="172"/>
      <c r="M65" s="174"/>
      <c r="N65" s="175"/>
      <c r="O65" s="176"/>
      <c r="P65" s="177"/>
      <c r="Q65" s="190"/>
      <c r="R65" s="172"/>
      <c r="S65" s="172"/>
      <c r="T65" s="172"/>
      <c r="U65" s="172"/>
      <c r="V65" s="172"/>
      <c r="W65" s="172"/>
      <c r="X65" s="172"/>
      <c r="Y65" s="172"/>
      <c r="Z65" s="172"/>
      <c r="AA65" s="202"/>
      <c r="AB65" s="202"/>
    </row>
    <row r="66" spans="1:28" ht="12.75">
      <c r="A66" s="165">
        <v>39</v>
      </c>
      <c r="B66" s="48">
        <v>1987</v>
      </c>
      <c r="C66" s="48" t="s">
        <v>50</v>
      </c>
      <c r="D66" s="167" t="s">
        <v>92</v>
      </c>
      <c r="E66" s="166">
        <v>15</v>
      </c>
      <c r="F66" s="166" t="s">
        <v>39</v>
      </c>
      <c r="G66" s="171">
        <v>10</v>
      </c>
      <c r="H66" s="170">
        <v>3</v>
      </c>
      <c r="I66" s="170">
        <v>1</v>
      </c>
      <c r="J66" s="170">
        <v>3</v>
      </c>
      <c r="K66" s="170"/>
      <c r="L66" s="170">
        <v>24</v>
      </c>
      <c r="M66" s="48">
        <v>57</v>
      </c>
      <c r="N66" s="175">
        <f aca="true" t="shared" si="34" ref="N66:N71">O66+Q66+S66+U66+V66+W66</f>
        <v>1401.1000000000001</v>
      </c>
      <c r="O66" s="178">
        <f>1172.2-63-1.1</f>
        <v>1108.1000000000001</v>
      </c>
      <c r="P66" s="177">
        <f>726.7-40.7-0.6</f>
        <v>685.4</v>
      </c>
      <c r="Q66" s="190"/>
      <c r="R66" s="172"/>
      <c r="S66" s="172">
        <f>86.5+83.3</f>
        <v>169.8</v>
      </c>
      <c r="T66" s="172">
        <f>50.6+96.9</f>
        <v>147.5</v>
      </c>
      <c r="U66" s="172"/>
      <c r="V66" s="172">
        <v>119</v>
      </c>
      <c r="W66" s="172">
        <v>4.2</v>
      </c>
      <c r="X66" s="198">
        <f aca="true" t="shared" si="35" ref="X66:X71">V66*1.3</f>
        <v>154.70000000000002</v>
      </c>
      <c r="Y66" s="198">
        <f aca="true" t="shared" si="36" ref="Y66:Y68">W66+X66</f>
        <v>158.9</v>
      </c>
      <c r="Z66" s="198">
        <f aca="true" t="shared" si="37" ref="Z66:Z70">W66+X66-Y66</f>
        <v>0</v>
      </c>
      <c r="AA66" s="203"/>
      <c r="AB66" s="203">
        <v>54.2</v>
      </c>
    </row>
    <row r="67" spans="1:28" ht="12.75">
      <c r="A67" s="165">
        <v>40</v>
      </c>
      <c r="B67" s="48">
        <v>1990</v>
      </c>
      <c r="C67" s="48" t="s">
        <v>50</v>
      </c>
      <c r="D67" s="167" t="s">
        <v>92</v>
      </c>
      <c r="E67" s="166" t="s">
        <v>93</v>
      </c>
      <c r="F67" s="166" t="s">
        <v>39</v>
      </c>
      <c r="G67" s="171">
        <v>10</v>
      </c>
      <c r="H67" s="170">
        <v>3</v>
      </c>
      <c r="I67" s="170">
        <v>1</v>
      </c>
      <c r="J67" s="170">
        <v>3</v>
      </c>
      <c r="K67" s="170"/>
      <c r="L67" s="48">
        <v>23</v>
      </c>
      <c r="M67" s="170">
        <v>84</v>
      </c>
      <c r="N67" s="175">
        <f t="shared" si="34"/>
        <v>1402.5</v>
      </c>
      <c r="O67" s="179">
        <v>1220.9</v>
      </c>
      <c r="P67" s="177">
        <f>747-1.1+0.4-2</f>
        <v>744.3</v>
      </c>
      <c r="Q67" s="191"/>
      <c r="R67" s="192"/>
      <c r="S67" s="172"/>
      <c r="T67" s="172"/>
      <c r="U67" s="172">
        <v>50.6</v>
      </c>
      <c r="V67" s="172">
        <v>117.7</v>
      </c>
      <c r="W67" s="172">
        <v>13.3</v>
      </c>
      <c r="X67" s="172">
        <f t="shared" si="35"/>
        <v>153.01000000000002</v>
      </c>
      <c r="Y67" s="198">
        <f t="shared" si="36"/>
        <v>166.31000000000003</v>
      </c>
      <c r="Z67" s="198">
        <f t="shared" si="37"/>
        <v>0</v>
      </c>
      <c r="AA67" s="204">
        <v>53.7</v>
      </c>
      <c r="AB67" s="204"/>
    </row>
    <row r="68" spans="1:28" ht="12.75">
      <c r="A68" s="165">
        <v>41</v>
      </c>
      <c r="B68" s="48">
        <v>1989</v>
      </c>
      <c r="C68" s="48" t="s">
        <v>50</v>
      </c>
      <c r="D68" s="167" t="s">
        <v>62</v>
      </c>
      <c r="E68" s="166" t="s">
        <v>94</v>
      </c>
      <c r="F68" s="166" t="s">
        <v>39</v>
      </c>
      <c r="G68" s="166">
        <v>10</v>
      </c>
      <c r="H68" s="170">
        <v>3</v>
      </c>
      <c r="I68" s="170">
        <v>1</v>
      </c>
      <c r="J68" s="170">
        <v>3</v>
      </c>
      <c r="K68" s="170"/>
      <c r="L68" s="170">
        <v>30</v>
      </c>
      <c r="M68" s="48">
        <v>103</v>
      </c>
      <c r="N68" s="175">
        <f t="shared" si="34"/>
        <v>1743.9</v>
      </c>
      <c r="O68" s="178">
        <v>1581.9</v>
      </c>
      <c r="P68" s="177">
        <v>922.5</v>
      </c>
      <c r="Q68" s="190"/>
      <c r="R68" s="172"/>
      <c r="S68" s="170"/>
      <c r="T68" s="172"/>
      <c r="U68" s="172"/>
      <c r="V68" s="172">
        <v>73.9</v>
      </c>
      <c r="W68" s="172">
        <v>88.1</v>
      </c>
      <c r="X68" s="172">
        <f t="shared" si="35"/>
        <v>96.07000000000001</v>
      </c>
      <c r="Y68" s="198">
        <f t="shared" si="36"/>
        <v>184.17000000000002</v>
      </c>
      <c r="Z68" s="198">
        <f t="shared" si="37"/>
        <v>0</v>
      </c>
      <c r="AA68" s="190">
        <v>37.8</v>
      </c>
      <c r="AB68" s="205"/>
    </row>
    <row r="69" spans="1:28" ht="12.75">
      <c r="A69" s="165">
        <v>42</v>
      </c>
      <c r="B69" s="48">
        <v>1983</v>
      </c>
      <c r="C69" s="48" t="s">
        <v>50</v>
      </c>
      <c r="D69" s="167" t="s">
        <v>92</v>
      </c>
      <c r="E69" s="166" t="s">
        <v>95</v>
      </c>
      <c r="F69" s="166" t="s">
        <v>39</v>
      </c>
      <c r="G69" s="166">
        <v>8</v>
      </c>
      <c r="H69" s="170">
        <v>3</v>
      </c>
      <c r="I69" s="170">
        <v>1</v>
      </c>
      <c r="J69" s="170">
        <v>2</v>
      </c>
      <c r="K69" s="170"/>
      <c r="L69" s="170">
        <v>24</v>
      </c>
      <c r="M69" s="48">
        <v>79</v>
      </c>
      <c r="N69" s="175">
        <f t="shared" si="34"/>
        <v>1541.2</v>
      </c>
      <c r="O69" s="178">
        <v>1339.5</v>
      </c>
      <c r="P69" s="177">
        <f>761.3-0.4</f>
        <v>760.9</v>
      </c>
      <c r="Q69" s="190">
        <v>65</v>
      </c>
      <c r="R69" s="172"/>
      <c r="S69" s="170"/>
      <c r="T69" s="172"/>
      <c r="U69" s="172"/>
      <c r="V69" s="172">
        <v>99.2</v>
      </c>
      <c r="W69" s="172">
        <v>37.5</v>
      </c>
      <c r="X69" s="172">
        <f t="shared" si="35"/>
        <v>128.96</v>
      </c>
      <c r="Y69" s="206">
        <f>X69/H69*3+W69</f>
        <v>166.46</v>
      </c>
      <c r="Z69" s="198">
        <f t="shared" si="37"/>
        <v>0</v>
      </c>
      <c r="AA69" s="190"/>
      <c r="AB69" s="205"/>
    </row>
    <row r="70" spans="1:28" ht="12.75">
      <c r="A70" s="165">
        <v>43</v>
      </c>
      <c r="B70" s="48">
        <v>1991</v>
      </c>
      <c r="C70" s="48" t="s">
        <v>50</v>
      </c>
      <c r="D70" s="167" t="s">
        <v>92</v>
      </c>
      <c r="E70" s="166" t="s">
        <v>96</v>
      </c>
      <c r="F70" s="166" t="s">
        <v>39</v>
      </c>
      <c r="G70" s="166">
        <v>10</v>
      </c>
      <c r="H70" s="170">
        <v>3</v>
      </c>
      <c r="I70" s="170">
        <v>1</v>
      </c>
      <c r="J70" s="170">
        <v>3</v>
      </c>
      <c r="K70" s="170"/>
      <c r="L70" s="170">
        <v>32</v>
      </c>
      <c r="M70" s="48">
        <v>101</v>
      </c>
      <c r="N70" s="175">
        <f t="shared" si="34"/>
        <v>1842.5</v>
      </c>
      <c r="O70" s="178">
        <v>1665</v>
      </c>
      <c r="P70" s="177">
        <v>932.5</v>
      </c>
      <c r="Q70" s="190"/>
      <c r="R70" s="172"/>
      <c r="S70" s="170"/>
      <c r="T70" s="172"/>
      <c r="U70" s="172"/>
      <c r="V70" s="172">
        <v>137.1</v>
      </c>
      <c r="W70" s="172">
        <v>40.4</v>
      </c>
      <c r="X70" s="172">
        <f t="shared" si="35"/>
        <v>178.23</v>
      </c>
      <c r="Y70" s="198">
        <f>X70/H70*3+W70</f>
        <v>218.63</v>
      </c>
      <c r="Z70" s="172">
        <f t="shared" si="37"/>
        <v>0</v>
      </c>
      <c r="AA70" s="190">
        <v>28.7</v>
      </c>
      <c r="AB70" s="205"/>
    </row>
    <row r="71" spans="1:28" ht="12.75">
      <c r="A71" s="165">
        <v>44</v>
      </c>
      <c r="B71" s="48">
        <v>2011</v>
      </c>
      <c r="C71" s="48"/>
      <c r="D71" s="167" t="s">
        <v>92</v>
      </c>
      <c r="E71" s="166" t="s">
        <v>97</v>
      </c>
      <c r="F71" s="166" t="s">
        <v>39</v>
      </c>
      <c r="G71" s="166" t="s">
        <v>98</v>
      </c>
      <c r="H71" s="170">
        <v>3</v>
      </c>
      <c r="I71" s="170">
        <v>1</v>
      </c>
      <c r="J71" s="170">
        <v>4</v>
      </c>
      <c r="K71" s="170"/>
      <c r="L71" s="170">
        <v>54</v>
      </c>
      <c r="M71" s="48">
        <v>135</v>
      </c>
      <c r="N71" s="175">
        <f t="shared" si="34"/>
        <v>3502.4</v>
      </c>
      <c r="O71" s="178">
        <v>3126.3</v>
      </c>
      <c r="P71" s="177">
        <v>1881.5</v>
      </c>
      <c r="Q71" s="190"/>
      <c r="R71" s="172"/>
      <c r="S71" s="170"/>
      <c r="T71" s="172"/>
      <c r="U71" s="172"/>
      <c r="V71" s="172">
        <v>127.7</v>
      </c>
      <c r="W71" s="172">
        <v>248.4</v>
      </c>
      <c r="X71" s="172">
        <f t="shared" si="35"/>
        <v>166.01000000000002</v>
      </c>
      <c r="Y71" s="198"/>
      <c r="Z71" s="172"/>
      <c r="AA71" s="7"/>
      <c r="AB71" s="207"/>
    </row>
    <row r="72" spans="1:28" ht="12.75">
      <c r="A72" s="165"/>
      <c r="B72" s="48"/>
      <c r="C72" s="48"/>
      <c r="D72" s="167"/>
      <c r="E72" s="170"/>
      <c r="F72" s="170"/>
      <c r="G72" s="170"/>
      <c r="H72" s="170"/>
      <c r="I72" s="166">
        <f aca="true" t="shared" si="38" ref="I72:P72">SUM(I66:I71)</f>
        <v>6</v>
      </c>
      <c r="J72" s="166">
        <f t="shared" si="38"/>
        <v>18</v>
      </c>
      <c r="K72" s="166">
        <f>SUM(K66:K70)</f>
        <v>0</v>
      </c>
      <c r="L72" s="166">
        <f t="shared" si="38"/>
        <v>187</v>
      </c>
      <c r="M72" s="166">
        <f t="shared" si="38"/>
        <v>559</v>
      </c>
      <c r="N72" s="180">
        <f t="shared" si="38"/>
        <v>11433.6</v>
      </c>
      <c r="O72" s="39">
        <f t="shared" si="38"/>
        <v>10041.7</v>
      </c>
      <c r="P72" s="181">
        <f t="shared" si="38"/>
        <v>5927.1</v>
      </c>
      <c r="Q72" s="193">
        <f>SUM(Q66:Q70,)</f>
        <v>65</v>
      </c>
      <c r="R72" s="193">
        <f>SUM(R66:R70,)</f>
        <v>0</v>
      </c>
      <c r="S72" s="166">
        <f aca="true" t="shared" si="39" ref="S72:U72">SUM(S66:S70)</f>
        <v>169.8</v>
      </c>
      <c r="T72" s="166">
        <f t="shared" si="39"/>
        <v>147.5</v>
      </c>
      <c r="U72" s="166">
        <f t="shared" si="39"/>
        <v>50.6</v>
      </c>
      <c r="V72" s="166">
        <f aca="true" t="shared" si="40" ref="V72:X72">SUM(V66:V71)</f>
        <v>674.6</v>
      </c>
      <c r="W72" s="166">
        <f t="shared" si="40"/>
        <v>431.9</v>
      </c>
      <c r="X72" s="39">
        <f t="shared" si="40"/>
        <v>876.98</v>
      </c>
      <c r="Y72" s="39">
        <f aca="true" t="shared" si="41" ref="Y72:AB72">SUM(Y66:Y70)</f>
        <v>894.47</v>
      </c>
      <c r="Z72" s="39">
        <f t="shared" si="41"/>
        <v>0</v>
      </c>
      <c r="AA72" s="208">
        <f t="shared" si="41"/>
        <v>120.2</v>
      </c>
      <c r="AB72" s="209">
        <f t="shared" si="41"/>
        <v>54.2</v>
      </c>
    </row>
    <row r="73" spans="1:28" ht="12.75">
      <c r="A73" s="165"/>
      <c r="B73" s="48"/>
      <c r="C73" s="48"/>
      <c r="D73" s="166" t="s">
        <v>99</v>
      </c>
      <c r="E73" s="170"/>
      <c r="F73" s="170"/>
      <c r="G73" s="170"/>
      <c r="H73" s="170"/>
      <c r="I73" s="170"/>
      <c r="J73" s="170"/>
      <c r="K73" s="170"/>
      <c r="L73" s="172"/>
      <c r="M73" s="174"/>
      <c r="N73" s="175"/>
      <c r="O73" s="176"/>
      <c r="P73" s="177"/>
      <c r="Q73" s="190"/>
      <c r="R73" s="172"/>
      <c r="S73" s="172"/>
      <c r="T73" s="172"/>
      <c r="U73" s="172"/>
      <c r="V73" s="172"/>
      <c r="W73" s="172"/>
      <c r="X73" s="172"/>
      <c r="Y73" s="172"/>
      <c r="Z73" s="172"/>
      <c r="AA73" s="203"/>
      <c r="AB73" s="203"/>
    </row>
    <row r="74" spans="1:28" ht="12.75">
      <c r="A74" s="165">
        <v>45</v>
      </c>
      <c r="B74" s="48">
        <v>1990</v>
      </c>
      <c r="C74" s="48" t="s">
        <v>50</v>
      </c>
      <c r="D74" s="167" t="s">
        <v>92</v>
      </c>
      <c r="E74" s="166">
        <v>41</v>
      </c>
      <c r="F74" s="166" t="s">
        <v>39</v>
      </c>
      <c r="G74" s="166">
        <v>8</v>
      </c>
      <c r="H74" s="166">
        <v>5</v>
      </c>
      <c r="I74" s="166">
        <v>1</v>
      </c>
      <c r="J74" s="166">
        <v>3</v>
      </c>
      <c r="K74" s="166"/>
      <c r="L74" s="170">
        <v>36</v>
      </c>
      <c r="M74" s="48">
        <v>98</v>
      </c>
      <c r="N74" s="175">
        <f aca="true" t="shared" si="42" ref="N74:N79">O74+Q74+S74+U74+V74+W74</f>
        <v>2515.8999999999996</v>
      </c>
      <c r="O74" s="176">
        <v>1817</v>
      </c>
      <c r="P74" s="177">
        <v>1043.5</v>
      </c>
      <c r="Q74" s="190"/>
      <c r="R74" s="172"/>
      <c r="S74" s="172"/>
      <c r="T74" s="172"/>
      <c r="U74" s="172">
        <v>455.5</v>
      </c>
      <c r="V74" s="172">
        <v>167.7</v>
      </c>
      <c r="W74" s="172">
        <v>75.7</v>
      </c>
      <c r="X74" s="172">
        <f aca="true" t="shared" si="43" ref="X74:X79">V74*1.3</f>
        <v>218.01</v>
      </c>
      <c r="Y74" s="198">
        <f aca="true" t="shared" si="44" ref="Y74:Y79">X74/H74*3+W74</f>
        <v>206.50599999999997</v>
      </c>
      <c r="Z74" s="198">
        <f aca="true" t="shared" si="45" ref="Z74:Z79">W74+X74-Y74</f>
        <v>87.20400000000001</v>
      </c>
      <c r="AA74" s="210"/>
      <c r="AB74" s="210"/>
    </row>
    <row r="75" spans="1:28" ht="12.75">
      <c r="A75" s="165">
        <v>46</v>
      </c>
      <c r="B75" s="48">
        <v>1990</v>
      </c>
      <c r="C75" s="48" t="s">
        <v>50</v>
      </c>
      <c r="D75" s="167" t="s">
        <v>92</v>
      </c>
      <c r="E75" s="166" t="s">
        <v>100</v>
      </c>
      <c r="F75" s="166" t="s">
        <v>39</v>
      </c>
      <c r="G75" s="166">
        <v>8</v>
      </c>
      <c r="H75" s="166">
        <v>5</v>
      </c>
      <c r="I75" s="166">
        <v>1</v>
      </c>
      <c r="J75" s="166">
        <v>3</v>
      </c>
      <c r="K75" s="166"/>
      <c r="L75" s="170">
        <v>36</v>
      </c>
      <c r="M75" s="48">
        <v>97</v>
      </c>
      <c r="N75" s="175">
        <f t="shared" si="42"/>
        <v>2474.2</v>
      </c>
      <c r="O75" s="182">
        <f>1816.5</f>
        <v>1816.5</v>
      </c>
      <c r="P75" s="183">
        <f>1047.4+1.9</f>
        <v>1049.3000000000002</v>
      </c>
      <c r="Q75" s="190"/>
      <c r="R75" s="172"/>
      <c r="S75" s="172"/>
      <c r="T75" s="172"/>
      <c r="U75" s="172">
        <v>413.2</v>
      </c>
      <c r="V75" s="172">
        <v>211</v>
      </c>
      <c r="W75" s="172">
        <v>33.5</v>
      </c>
      <c r="X75" s="172">
        <f t="shared" si="43"/>
        <v>274.3</v>
      </c>
      <c r="Y75" s="198">
        <f t="shared" si="44"/>
        <v>198.07999999999998</v>
      </c>
      <c r="Z75" s="198">
        <f t="shared" si="45"/>
        <v>109.72000000000003</v>
      </c>
      <c r="AA75" s="210"/>
      <c r="AB75" s="210"/>
    </row>
    <row r="76" spans="1:28" ht="12.75">
      <c r="A76" s="165">
        <v>47</v>
      </c>
      <c r="B76" s="48">
        <v>1989</v>
      </c>
      <c r="C76" s="48" t="s">
        <v>50</v>
      </c>
      <c r="D76" s="167" t="s">
        <v>92</v>
      </c>
      <c r="E76" s="166" t="s">
        <v>101</v>
      </c>
      <c r="F76" s="166" t="s">
        <v>39</v>
      </c>
      <c r="G76" s="166">
        <v>8</v>
      </c>
      <c r="H76" s="166">
        <v>5</v>
      </c>
      <c r="I76" s="166">
        <v>1</v>
      </c>
      <c r="J76" s="166">
        <v>3</v>
      </c>
      <c r="K76" s="166"/>
      <c r="L76" s="170">
        <v>37</v>
      </c>
      <c r="M76" s="48">
        <v>107</v>
      </c>
      <c r="N76" s="175">
        <f t="shared" si="42"/>
        <v>2681.0000000000005</v>
      </c>
      <c r="O76" s="182">
        <v>2074.8</v>
      </c>
      <c r="P76" s="183">
        <f>931.9+26.1+2.7+2.8</f>
        <v>963.5</v>
      </c>
      <c r="Q76" s="190"/>
      <c r="R76" s="172"/>
      <c r="S76" s="172"/>
      <c r="T76" s="172"/>
      <c r="U76" s="172">
        <f>415.7-50.8</f>
        <v>364.9</v>
      </c>
      <c r="V76" s="172">
        <v>208</v>
      </c>
      <c r="W76" s="172">
        <v>33.3</v>
      </c>
      <c r="X76" s="172">
        <f t="shared" si="43"/>
        <v>270.40000000000003</v>
      </c>
      <c r="Y76" s="198">
        <f t="shared" si="44"/>
        <v>195.54000000000002</v>
      </c>
      <c r="Z76" s="198">
        <f t="shared" si="45"/>
        <v>108.16000000000003</v>
      </c>
      <c r="AA76" s="210"/>
      <c r="AB76" s="210"/>
    </row>
    <row r="77" spans="1:28" ht="12.75">
      <c r="A77" s="165">
        <v>48</v>
      </c>
      <c r="B77" s="48">
        <v>1995</v>
      </c>
      <c r="C77" s="48" t="s">
        <v>50</v>
      </c>
      <c r="D77" s="167" t="s">
        <v>92</v>
      </c>
      <c r="E77" s="166" t="s">
        <v>102</v>
      </c>
      <c r="F77" s="166" t="s">
        <v>39</v>
      </c>
      <c r="G77" s="166">
        <v>8</v>
      </c>
      <c r="H77" s="166">
        <v>5</v>
      </c>
      <c r="I77" s="166">
        <v>1</v>
      </c>
      <c r="J77" s="166">
        <v>2</v>
      </c>
      <c r="K77" s="166"/>
      <c r="L77" s="170">
        <v>29</v>
      </c>
      <c r="M77" s="48">
        <v>85</v>
      </c>
      <c r="N77" s="175">
        <f t="shared" si="42"/>
        <v>2054.4</v>
      </c>
      <c r="O77" s="176">
        <v>1705.7</v>
      </c>
      <c r="P77" s="177">
        <f>948.2+31-0.1+0.9</f>
        <v>980</v>
      </c>
      <c r="Q77" s="190"/>
      <c r="R77" s="172"/>
      <c r="S77" s="48">
        <v>57.5</v>
      </c>
      <c r="T77" s="172">
        <f>61.7-31</f>
        <v>30.700000000000003</v>
      </c>
      <c r="U77" s="172"/>
      <c r="V77" s="172">
        <v>205.6</v>
      </c>
      <c r="W77" s="172">
        <v>85.6</v>
      </c>
      <c r="X77" s="172">
        <f t="shared" si="43"/>
        <v>267.28000000000003</v>
      </c>
      <c r="Y77" s="198">
        <f t="shared" si="44"/>
        <v>245.968</v>
      </c>
      <c r="Z77" s="198">
        <f t="shared" si="45"/>
        <v>106.912</v>
      </c>
      <c r="AA77" s="210"/>
      <c r="AB77" s="210">
        <v>51</v>
      </c>
    </row>
    <row r="78" spans="1:28" ht="12.75">
      <c r="A78" s="165">
        <v>49</v>
      </c>
      <c r="B78" s="48">
        <v>1990</v>
      </c>
      <c r="C78" s="48" t="s">
        <v>50</v>
      </c>
      <c r="D78" s="167" t="s">
        <v>92</v>
      </c>
      <c r="E78" s="166" t="s">
        <v>103</v>
      </c>
      <c r="F78" s="166" t="s">
        <v>39</v>
      </c>
      <c r="G78" s="166">
        <v>8</v>
      </c>
      <c r="H78" s="166">
        <v>5</v>
      </c>
      <c r="I78" s="166">
        <v>1</v>
      </c>
      <c r="J78" s="166">
        <v>3</v>
      </c>
      <c r="K78" s="166"/>
      <c r="L78" s="170">
        <v>36</v>
      </c>
      <c r="M78" s="48">
        <v>93</v>
      </c>
      <c r="N78" s="175">
        <f t="shared" si="42"/>
        <v>2552.8999999999996</v>
      </c>
      <c r="O78" s="176">
        <v>1893.6</v>
      </c>
      <c r="P78" s="177">
        <f>1043.8-0.5</f>
        <v>1043.3</v>
      </c>
      <c r="Q78" s="190"/>
      <c r="R78" s="172"/>
      <c r="S78" s="172"/>
      <c r="T78" s="172"/>
      <c r="U78" s="172">
        <v>416.7</v>
      </c>
      <c r="V78" s="172">
        <v>209.4</v>
      </c>
      <c r="W78" s="172">
        <v>33.2</v>
      </c>
      <c r="X78" s="172">
        <f t="shared" si="43"/>
        <v>272.22</v>
      </c>
      <c r="Y78" s="198">
        <f t="shared" si="44"/>
        <v>196.53199999999998</v>
      </c>
      <c r="Z78" s="198">
        <f t="shared" si="45"/>
        <v>108.88800000000003</v>
      </c>
      <c r="AA78" s="210"/>
      <c r="AB78" s="210"/>
    </row>
    <row r="79" spans="1:28" ht="12.75">
      <c r="A79" s="165">
        <v>50</v>
      </c>
      <c r="B79" s="48">
        <v>1995</v>
      </c>
      <c r="C79" s="48" t="s">
        <v>50</v>
      </c>
      <c r="D79" s="167" t="s">
        <v>92</v>
      </c>
      <c r="E79" s="166">
        <v>45</v>
      </c>
      <c r="F79" s="166" t="s">
        <v>39</v>
      </c>
      <c r="G79" s="166">
        <v>8</v>
      </c>
      <c r="H79" s="166">
        <v>5</v>
      </c>
      <c r="I79" s="166">
        <v>1</v>
      </c>
      <c r="J79" s="166">
        <v>1</v>
      </c>
      <c r="K79" s="166"/>
      <c r="L79" s="170">
        <v>15</v>
      </c>
      <c r="M79" s="48">
        <v>43</v>
      </c>
      <c r="N79" s="175">
        <f t="shared" si="42"/>
        <v>2042.3</v>
      </c>
      <c r="O79" s="176">
        <f>872.5-Q79+5.9+4.9</f>
        <v>883.3</v>
      </c>
      <c r="P79" s="177">
        <f>516-R79-2.5-0.1</f>
        <v>513.4</v>
      </c>
      <c r="Q79" s="190">
        <f>52.8-52.8</f>
        <v>0</v>
      </c>
      <c r="R79" s="172">
        <f>30.6-30.6</f>
        <v>0</v>
      </c>
      <c r="S79" s="172"/>
      <c r="T79" s="172"/>
      <c r="U79" s="199">
        <v>1034.3</v>
      </c>
      <c r="V79" s="172">
        <v>104.5</v>
      </c>
      <c r="W79" s="172">
        <v>20.2</v>
      </c>
      <c r="X79" s="172">
        <f t="shared" si="43"/>
        <v>135.85</v>
      </c>
      <c r="Y79" s="198">
        <f t="shared" si="44"/>
        <v>101.71</v>
      </c>
      <c r="Z79" s="198">
        <f t="shared" si="45"/>
        <v>54.33999999999999</v>
      </c>
      <c r="AA79" s="204"/>
      <c r="AB79" s="204">
        <v>55.2</v>
      </c>
    </row>
    <row r="80" spans="1:28" ht="12.75">
      <c r="A80" s="165"/>
      <c r="B80" s="48"/>
      <c r="C80" s="48"/>
      <c r="D80" s="167"/>
      <c r="E80" s="170"/>
      <c r="F80" s="170"/>
      <c r="G80" s="170"/>
      <c r="H80" s="170"/>
      <c r="I80" s="166">
        <f>SUM(I74:I79)</f>
        <v>6</v>
      </c>
      <c r="J80" s="166">
        <f aca="true" t="shared" si="46" ref="J80:AB80">SUM(J74:J79)</f>
        <v>15</v>
      </c>
      <c r="K80" s="166">
        <f t="shared" si="46"/>
        <v>0</v>
      </c>
      <c r="L80" s="166">
        <f t="shared" si="46"/>
        <v>189</v>
      </c>
      <c r="M80" s="166">
        <f t="shared" si="46"/>
        <v>523</v>
      </c>
      <c r="N80" s="180">
        <f t="shared" si="46"/>
        <v>14320.699999999999</v>
      </c>
      <c r="O80" s="166">
        <f t="shared" si="46"/>
        <v>10190.9</v>
      </c>
      <c r="P80" s="181">
        <f t="shared" si="46"/>
        <v>5593</v>
      </c>
      <c r="Q80" s="193">
        <f t="shared" si="46"/>
        <v>0</v>
      </c>
      <c r="R80" s="166">
        <f t="shared" si="46"/>
        <v>0</v>
      </c>
      <c r="S80" s="166">
        <f t="shared" si="46"/>
        <v>57.5</v>
      </c>
      <c r="T80" s="166">
        <f t="shared" si="46"/>
        <v>30.700000000000003</v>
      </c>
      <c r="U80" s="166">
        <f t="shared" si="46"/>
        <v>2684.6</v>
      </c>
      <c r="V80" s="166">
        <f t="shared" si="46"/>
        <v>1106.2</v>
      </c>
      <c r="W80" s="166">
        <f t="shared" si="46"/>
        <v>281.5</v>
      </c>
      <c r="X80" s="166">
        <f t="shared" si="46"/>
        <v>1438.06</v>
      </c>
      <c r="Y80" s="39">
        <f t="shared" si="46"/>
        <v>1144.336</v>
      </c>
      <c r="Z80" s="39">
        <f t="shared" si="46"/>
        <v>575.2240000000002</v>
      </c>
      <c r="AA80" s="211">
        <f t="shared" si="46"/>
        <v>0</v>
      </c>
      <c r="AB80" s="211">
        <f t="shared" si="46"/>
        <v>106.2</v>
      </c>
    </row>
    <row r="81" spans="1:28" ht="12.75">
      <c r="A81" s="165"/>
      <c r="B81" s="48"/>
      <c r="C81" s="48"/>
      <c r="D81" s="166" t="s">
        <v>104</v>
      </c>
      <c r="E81" s="170"/>
      <c r="F81" s="170"/>
      <c r="G81" s="170"/>
      <c r="H81" s="170"/>
      <c r="I81" s="170"/>
      <c r="J81" s="170"/>
      <c r="K81" s="170"/>
      <c r="L81" s="172"/>
      <c r="M81" s="174"/>
      <c r="N81" s="175"/>
      <c r="O81" s="176"/>
      <c r="P81" s="177"/>
      <c r="Q81" s="190"/>
      <c r="R81" s="172"/>
      <c r="S81" s="172"/>
      <c r="T81" s="172"/>
      <c r="U81" s="172"/>
      <c r="V81" s="172"/>
      <c r="W81" s="172"/>
      <c r="X81" s="172"/>
      <c r="Y81" s="172"/>
      <c r="Z81" s="172"/>
      <c r="AA81" s="203"/>
      <c r="AB81" s="203"/>
    </row>
    <row r="82" spans="1:28" ht="12.75">
      <c r="A82" s="165">
        <v>51</v>
      </c>
      <c r="B82" s="48">
        <v>1982</v>
      </c>
      <c r="C82" s="48" t="s">
        <v>50</v>
      </c>
      <c r="D82" s="167" t="s">
        <v>92</v>
      </c>
      <c r="E82" s="166" t="s">
        <v>105</v>
      </c>
      <c r="F82" s="166" t="s">
        <v>106</v>
      </c>
      <c r="G82" s="166">
        <v>12</v>
      </c>
      <c r="H82" s="170">
        <v>2</v>
      </c>
      <c r="I82" s="170">
        <v>1</v>
      </c>
      <c r="J82" s="170">
        <v>1</v>
      </c>
      <c r="K82" s="170"/>
      <c r="L82" s="170">
        <v>6</v>
      </c>
      <c r="M82" s="48">
        <v>25</v>
      </c>
      <c r="N82" s="175">
        <f>O82+Q82+S82+U82+V82+W82</f>
        <v>445.19999999999993</v>
      </c>
      <c r="O82" s="176">
        <f>387.2+2.2</f>
        <v>389.4</v>
      </c>
      <c r="P82" s="177">
        <f>226.7-1.1</f>
        <v>225.6</v>
      </c>
      <c r="Q82" s="190"/>
      <c r="R82" s="172"/>
      <c r="S82" s="170"/>
      <c r="T82" s="172"/>
      <c r="U82" s="172"/>
      <c r="V82" s="172">
        <v>42.4</v>
      </c>
      <c r="W82" s="172">
        <v>13.4</v>
      </c>
      <c r="X82" s="172">
        <f>V82*1.3</f>
        <v>55.12</v>
      </c>
      <c r="Y82" s="172">
        <f>W82+X82</f>
        <v>68.52</v>
      </c>
      <c r="Z82" s="172"/>
      <c r="AA82" s="210"/>
      <c r="AB82" s="210">
        <f>46.8+11.1</f>
        <v>57.9</v>
      </c>
    </row>
    <row r="83" spans="1:28" ht="12.75">
      <c r="A83" s="165">
        <v>52</v>
      </c>
      <c r="B83" s="48">
        <v>1985</v>
      </c>
      <c r="C83" s="48" t="s">
        <v>50</v>
      </c>
      <c r="D83" s="167" t="s">
        <v>89</v>
      </c>
      <c r="E83" s="166">
        <v>85</v>
      </c>
      <c r="F83" s="166" t="s">
        <v>39</v>
      </c>
      <c r="G83" s="166">
        <v>7</v>
      </c>
      <c r="H83" s="166">
        <v>5</v>
      </c>
      <c r="I83" s="170">
        <v>1</v>
      </c>
      <c r="J83" s="48">
        <v>4</v>
      </c>
      <c r="K83" s="48"/>
      <c r="L83" s="170">
        <v>51</v>
      </c>
      <c r="M83" s="48">
        <v>161</v>
      </c>
      <c r="N83" s="175">
        <f aca="true" t="shared" si="47" ref="N83:N110">O83+Q83+S83+U83+V83+W83</f>
        <v>3910.2999999999997</v>
      </c>
      <c r="O83" s="176">
        <v>3122</v>
      </c>
      <c r="P83" s="177">
        <f>1795.3+4.5+3.8</f>
        <v>1803.6</v>
      </c>
      <c r="Q83" s="190"/>
      <c r="R83" s="172"/>
      <c r="S83" s="170">
        <v>87.5</v>
      </c>
      <c r="T83" s="172">
        <v>63.4</v>
      </c>
      <c r="U83" s="172">
        <v>286.1</v>
      </c>
      <c r="V83" s="172">
        <v>287.6</v>
      </c>
      <c r="W83" s="172">
        <v>127.1</v>
      </c>
      <c r="X83" s="172">
        <f aca="true" t="shared" si="48" ref="X83:X110">V83*1.3</f>
        <v>373.88000000000005</v>
      </c>
      <c r="Y83" s="198">
        <f>X83/H83*3+W83</f>
        <v>351.428</v>
      </c>
      <c r="Z83" s="198">
        <f aca="true" t="shared" si="49" ref="Z83:Z110">W83+X83-Y83</f>
        <v>149.55200000000002</v>
      </c>
      <c r="AA83" s="210"/>
      <c r="AB83" s="210">
        <v>66.5</v>
      </c>
    </row>
    <row r="84" spans="1:28" ht="12.75">
      <c r="A84" s="165">
        <v>53</v>
      </c>
      <c r="B84" s="48">
        <v>1987</v>
      </c>
      <c r="C84" s="48" t="s">
        <v>50</v>
      </c>
      <c r="D84" s="167" t="s">
        <v>89</v>
      </c>
      <c r="E84" s="166" t="s">
        <v>107</v>
      </c>
      <c r="F84" s="166" t="s">
        <v>39</v>
      </c>
      <c r="G84" s="166">
        <v>7</v>
      </c>
      <c r="H84" s="166">
        <v>5</v>
      </c>
      <c r="I84" s="170">
        <v>1</v>
      </c>
      <c r="J84" s="48">
        <v>4</v>
      </c>
      <c r="K84" s="48"/>
      <c r="L84" s="170">
        <v>52</v>
      </c>
      <c r="M84" s="48">
        <v>137</v>
      </c>
      <c r="N84" s="175">
        <f t="shared" si="47"/>
        <v>3899.8</v>
      </c>
      <c r="O84" s="176">
        <v>3158.8</v>
      </c>
      <c r="P84" s="177">
        <f>1782.8-R84-0.1+3.3</f>
        <v>1786</v>
      </c>
      <c r="Q84" s="194"/>
      <c r="R84" s="172"/>
      <c r="S84" s="170"/>
      <c r="T84" s="172"/>
      <c r="U84" s="172">
        <v>306.2</v>
      </c>
      <c r="V84" s="172">
        <v>314</v>
      </c>
      <c r="W84" s="172">
        <v>120.8</v>
      </c>
      <c r="X84" s="172">
        <f t="shared" si="48"/>
        <v>408.2</v>
      </c>
      <c r="Y84" s="198">
        <f>X84/H84*3+W84</f>
        <v>365.72</v>
      </c>
      <c r="Z84" s="198">
        <f t="shared" si="49"/>
        <v>163.27999999999997</v>
      </c>
      <c r="AA84" s="210"/>
      <c r="AB84" s="210">
        <v>56</v>
      </c>
    </row>
    <row r="85" spans="1:28" ht="12.75">
      <c r="A85" s="165">
        <v>54</v>
      </c>
      <c r="B85" s="48">
        <v>1988</v>
      </c>
      <c r="C85" s="48" t="s">
        <v>108</v>
      </c>
      <c r="D85" s="167" t="s">
        <v>92</v>
      </c>
      <c r="E85" s="166">
        <v>18</v>
      </c>
      <c r="F85" s="170" t="s">
        <v>39</v>
      </c>
      <c r="G85" s="166">
        <v>11</v>
      </c>
      <c r="H85" s="170">
        <v>2</v>
      </c>
      <c r="I85" s="166">
        <v>1</v>
      </c>
      <c r="J85" s="170">
        <v>2</v>
      </c>
      <c r="K85" s="170"/>
      <c r="L85" s="48">
        <v>24</v>
      </c>
      <c r="M85" s="48">
        <v>53</v>
      </c>
      <c r="N85" s="175">
        <f t="shared" si="47"/>
        <v>1351.6999999999998</v>
      </c>
      <c r="O85" s="176">
        <v>1096.1</v>
      </c>
      <c r="P85" s="183">
        <f>590.6-0.9</f>
        <v>589.7</v>
      </c>
      <c r="Q85" s="190"/>
      <c r="R85" s="172"/>
      <c r="S85" s="172"/>
      <c r="T85" s="172"/>
      <c r="U85" s="172"/>
      <c r="V85" s="172">
        <v>66.8</v>
      </c>
      <c r="W85" s="172">
        <v>188.8</v>
      </c>
      <c r="X85" s="172">
        <f t="shared" si="48"/>
        <v>86.84</v>
      </c>
      <c r="Y85" s="198">
        <v>275.64</v>
      </c>
      <c r="Z85" s="198">
        <f t="shared" si="49"/>
        <v>0</v>
      </c>
      <c r="AA85" s="190"/>
      <c r="AB85" s="210"/>
    </row>
    <row r="86" spans="1:28" ht="12.75">
      <c r="A86" s="165">
        <v>55</v>
      </c>
      <c r="B86" s="48">
        <v>1988</v>
      </c>
      <c r="C86" s="48" t="s">
        <v>50</v>
      </c>
      <c r="D86" s="167" t="s">
        <v>89</v>
      </c>
      <c r="E86" s="166" t="s">
        <v>109</v>
      </c>
      <c r="F86" s="166" t="s">
        <v>106</v>
      </c>
      <c r="G86" s="166">
        <v>6</v>
      </c>
      <c r="H86" s="166">
        <v>5</v>
      </c>
      <c r="I86" s="170">
        <v>1</v>
      </c>
      <c r="J86" s="166">
        <v>1</v>
      </c>
      <c r="K86" s="166"/>
      <c r="L86" s="170">
        <v>18</v>
      </c>
      <c r="M86" s="48">
        <v>34</v>
      </c>
      <c r="N86" s="175">
        <f t="shared" si="47"/>
        <v>939.5</v>
      </c>
      <c r="O86" s="176">
        <f>838.4-1.8-2.2-2.1-0.7</f>
        <v>831.5999999999999</v>
      </c>
      <c r="P86" s="177">
        <f>446.3+1-1.6-1.5-0.3</f>
        <v>443.9</v>
      </c>
      <c r="Q86" s="190"/>
      <c r="R86" s="172"/>
      <c r="S86" s="170"/>
      <c r="T86" s="172"/>
      <c r="U86" s="172"/>
      <c r="V86" s="172">
        <v>105.7</v>
      </c>
      <c r="W86" s="172">
        <v>2.2</v>
      </c>
      <c r="X86" s="172">
        <f t="shared" si="48"/>
        <v>137.41</v>
      </c>
      <c r="Y86" s="198">
        <f aca="true" t="shared" si="50" ref="Y86:Y96">X86/H86*3+W86</f>
        <v>84.646</v>
      </c>
      <c r="Z86" s="198">
        <f t="shared" si="49"/>
        <v>54.963999999999984</v>
      </c>
      <c r="AA86" s="210"/>
      <c r="AB86" s="210">
        <v>15.2</v>
      </c>
    </row>
    <row r="87" spans="1:28" ht="12.75">
      <c r="A87" s="165">
        <v>56</v>
      </c>
      <c r="B87" s="48">
        <v>1987</v>
      </c>
      <c r="C87" s="48" t="s">
        <v>50</v>
      </c>
      <c r="D87" s="167" t="s">
        <v>89</v>
      </c>
      <c r="E87" s="166" t="s">
        <v>110</v>
      </c>
      <c r="F87" s="166" t="s">
        <v>106</v>
      </c>
      <c r="G87" s="166">
        <v>6</v>
      </c>
      <c r="H87" s="166">
        <v>5</v>
      </c>
      <c r="I87" s="170">
        <v>1</v>
      </c>
      <c r="J87" s="166">
        <v>1</v>
      </c>
      <c r="K87" s="166"/>
      <c r="L87" s="170">
        <v>18</v>
      </c>
      <c r="M87" s="48">
        <v>41</v>
      </c>
      <c r="N87" s="175">
        <f t="shared" si="47"/>
        <v>924.9</v>
      </c>
      <c r="O87" s="176">
        <v>821.9</v>
      </c>
      <c r="P87" s="177">
        <f>441.5+0</f>
        <v>441.5</v>
      </c>
      <c r="Q87" s="190"/>
      <c r="R87" s="172"/>
      <c r="S87" s="170"/>
      <c r="T87" s="172"/>
      <c r="U87" s="172"/>
      <c r="V87" s="172">
        <v>100.9</v>
      </c>
      <c r="W87" s="172">
        <v>2.1</v>
      </c>
      <c r="X87" s="172">
        <f t="shared" si="48"/>
        <v>131.17000000000002</v>
      </c>
      <c r="Y87" s="198">
        <f t="shared" si="50"/>
        <v>80.80199999999999</v>
      </c>
      <c r="Z87" s="198">
        <f t="shared" si="49"/>
        <v>52.46800000000002</v>
      </c>
      <c r="AA87" s="210"/>
      <c r="AB87" s="210">
        <v>15.2</v>
      </c>
    </row>
    <row r="88" spans="1:28" ht="12.75">
      <c r="A88" s="165">
        <v>57</v>
      </c>
      <c r="B88" s="48">
        <v>1988</v>
      </c>
      <c r="C88" s="48" t="s">
        <v>50</v>
      </c>
      <c r="D88" s="167" t="s">
        <v>89</v>
      </c>
      <c r="E88" s="166" t="s">
        <v>111</v>
      </c>
      <c r="F88" s="166" t="s">
        <v>106</v>
      </c>
      <c r="G88" s="166">
        <v>6</v>
      </c>
      <c r="H88" s="166">
        <v>5</v>
      </c>
      <c r="I88" s="170">
        <v>1</v>
      </c>
      <c r="J88" s="166">
        <v>1</v>
      </c>
      <c r="K88" s="166"/>
      <c r="L88" s="170">
        <v>18</v>
      </c>
      <c r="M88" s="48">
        <v>38</v>
      </c>
      <c r="N88" s="175">
        <f t="shared" si="47"/>
        <v>936.1999999999999</v>
      </c>
      <c r="O88" s="176">
        <v>795.4</v>
      </c>
      <c r="P88" s="177">
        <v>427.5</v>
      </c>
      <c r="Q88" s="190">
        <v>38.4</v>
      </c>
      <c r="R88" s="172">
        <v>19.3</v>
      </c>
      <c r="S88" s="170"/>
      <c r="T88" s="172"/>
      <c r="U88" s="172"/>
      <c r="V88" s="172">
        <v>100.1</v>
      </c>
      <c r="W88" s="172">
        <v>2.3</v>
      </c>
      <c r="X88" s="172">
        <f t="shared" si="48"/>
        <v>130.13</v>
      </c>
      <c r="Y88" s="198">
        <f t="shared" si="50"/>
        <v>80.378</v>
      </c>
      <c r="Z88" s="198">
        <f t="shared" si="49"/>
        <v>52.05200000000001</v>
      </c>
      <c r="AA88" s="210"/>
      <c r="AB88" s="210">
        <v>15.2</v>
      </c>
    </row>
    <row r="89" spans="1:28" ht="12.75">
      <c r="A89" s="165">
        <v>58</v>
      </c>
      <c r="B89" s="48">
        <v>1986</v>
      </c>
      <c r="C89" s="48" t="s">
        <v>50</v>
      </c>
      <c r="D89" s="167" t="s">
        <v>89</v>
      </c>
      <c r="E89" s="166">
        <v>93</v>
      </c>
      <c r="F89" s="166" t="s">
        <v>39</v>
      </c>
      <c r="G89" s="166">
        <v>7</v>
      </c>
      <c r="H89" s="166">
        <v>5</v>
      </c>
      <c r="I89" s="170">
        <v>1</v>
      </c>
      <c r="J89" s="166">
        <v>1</v>
      </c>
      <c r="K89" s="166"/>
      <c r="L89" s="170">
        <v>16</v>
      </c>
      <c r="M89" s="48">
        <v>42</v>
      </c>
      <c r="N89" s="175">
        <f t="shared" si="47"/>
        <v>1252.6</v>
      </c>
      <c r="O89" s="176">
        <v>903</v>
      </c>
      <c r="P89" s="177">
        <f>532.8-0.4-22.6</f>
        <v>509.79999999999995</v>
      </c>
      <c r="Q89" s="190"/>
      <c r="R89" s="172"/>
      <c r="S89" s="170"/>
      <c r="T89" s="172"/>
      <c r="U89" s="172">
        <v>203.1</v>
      </c>
      <c r="V89" s="172">
        <v>85.2</v>
      </c>
      <c r="W89" s="172">
        <v>61.3</v>
      </c>
      <c r="X89" s="172">
        <f t="shared" si="48"/>
        <v>110.76</v>
      </c>
      <c r="Y89" s="198">
        <f t="shared" si="50"/>
        <v>127.756</v>
      </c>
      <c r="Z89" s="198">
        <f t="shared" si="49"/>
        <v>44.304</v>
      </c>
      <c r="AA89" s="210"/>
      <c r="AB89" s="210">
        <v>20.8</v>
      </c>
    </row>
    <row r="90" spans="1:28" ht="12.75">
      <c r="A90" s="165">
        <v>59</v>
      </c>
      <c r="B90" s="48">
        <v>1986</v>
      </c>
      <c r="C90" s="48" t="s">
        <v>50</v>
      </c>
      <c r="D90" s="167" t="s">
        <v>89</v>
      </c>
      <c r="E90" s="166" t="s">
        <v>112</v>
      </c>
      <c r="F90" s="166" t="s">
        <v>39</v>
      </c>
      <c r="G90" s="166">
        <v>7</v>
      </c>
      <c r="H90" s="166">
        <v>5</v>
      </c>
      <c r="I90" s="170">
        <v>1</v>
      </c>
      <c r="J90" s="166">
        <v>4</v>
      </c>
      <c r="K90" s="166"/>
      <c r="L90" s="170">
        <v>54</v>
      </c>
      <c r="M90" s="48">
        <v>157</v>
      </c>
      <c r="N90" s="175">
        <f t="shared" si="47"/>
        <v>3944.5</v>
      </c>
      <c r="O90" s="176">
        <v>3433.3</v>
      </c>
      <c r="P90" s="177">
        <f>2008.6-1.7-1.6</f>
        <v>2005.3</v>
      </c>
      <c r="Q90" s="190"/>
      <c r="R90" s="172"/>
      <c r="S90" s="170">
        <v>87.2</v>
      </c>
      <c r="T90" s="172"/>
      <c r="U90" s="172"/>
      <c r="V90" s="172">
        <v>308.1</v>
      </c>
      <c r="W90" s="172">
        <v>115.9</v>
      </c>
      <c r="X90" s="172">
        <f t="shared" si="48"/>
        <v>400.53000000000003</v>
      </c>
      <c r="Y90" s="198">
        <f t="shared" si="50"/>
        <v>356.2180000000001</v>
      </c>
      <c r="Z90" s="198">
        <f t="shared" si="49"/>
        <v>160.212</v>
      </c>
      <c r="AA90" s="210"/>
      <c r="AB90" s="210">
        <v>66.5</v>
      </c>
    </row>
    <row r="91" spans="1:28" ht="12.75">
      <c r="A91" s="165">
        <v>60</v>
      </c>
      <c r="B91" s="48">
        <v>1986</v>
      </c>
      <c r="C91" s="48" t="s">
        <v>50</v>
      </c>
      <c r="D91" s="167" t="s">
        <v>89</v>
      </c>
      <c r="E91" s="166" t="s">
        <v>113</v>
      </c>
      <c r="F91" s="166" t="s">
        <v>39</v>
      </c>
      <c r="G91" s="166">
        <v>7</v>
      </c>
      <c r="H91" s="166">
        <v>5</v>
      </c>
      <c r="I91" s="170">
        <v>1</v>
      </c>
      <c r="J91" s="166">
        <v>4</v>
      </c>
      <c r="K91" s="166"/>
      <c r="L91" s="170">
        <v>53</v>
      </c>
      <c r="M91" s="48">
        <v>138</v>
      </c>
      <c r="N91" s="175">
        <f t="shared" si="47"/>
        <v>3756.8</v>
      </c>
      <c r="O91" s="176">
        <v>3300.9</v>
      </c>
      <c r="P91" s="177">
        <f>1883.5-0.6+1.4-3-11.3-0.3</f>
        <v>1869.7000000000003</v>
      </c>
      <c r="Q91" s="190">
        <v>52.7</v>
      </c>
      <c r="R91" s="172">
        <v>11.3</v>
      </c>
      <c r="S91" s="170"/>
      <c r="T91" s="172"/>
      <c r="U91" s="172">
        <v>163</v>
      </c>
      <c r="V91" s="172">
        <v>124.4</v>
      </c>
      <c r="W91" s="172">
        <v>115.8</v>
      </c>
      <c r="X91" s="172">
        <f t="shared" si="48"/>
        <v>161.72</v>
      </c>
      <c r="Y91" s="198">
        <f t="shared" si="50"/>
        <v>212.832</v>
      </c>
      <c r="Z91" s="198">
        <f t="shared" si="49"/>
        <v>64.68799999999999</v>
      </c>
      <c r="AA91" s="210"/>
      <c r="AB91" s="210">
        <v>56</v>
      </c>
    </row>
    <row r="92" spans="1:28" ht="12.75">
      <c r="A92" s="165">
        <v>61</v>
      </c>
      <c r="B92" s="48">
        <v>1987</v>
      </c>
      <c r="C92" s="48" t="s">
        <v>50</v>
      </c>
      <c r="D92" s="167" t="s">
        <v>89</v>
      </c>
      <c r="E92" s="166" t="s">
        <v>114</v>
      </c>
      <c r="F92" s="166" t="s">
        <v>39</v>
      </c>
      <c r="G92" s="166">
        <v>7</v>
      </c>
      <c r="H92" s="166">
        <v>5</v>
      </c>
      <c r="I92" s="170">
        <v>1</v>
      </c>
      <c r="J92" s="166">
        <v>4</v>
      </c>
      <c r="K92" s="166"/>
      <c r="L92" s="170">
        <v>56</v>
      </c>
      <c r="M92" s="48">
        <v>158</v>
      </c>
      <c r="N92" s="175">
        <f t="shared" si="47"/>
        <v>3923.7</v>
      </c>
      <c r="O92" s="176">
        <v>3452.7</v>
      </c>
      <c r="P92" s="177">
        <f>1957+0.7+1.2</f>
        <v>1958.9</v>
      </c>
      <c r="Q92" s="190"/>
      <c r="R92" s="172"/>
      <c r="S92" s="170"/>
      <c r="T92" s="172"/>
      <c r="U92" s="172"/>
      <c r="V92" s="172">
        <v>327</v>
      </c>
      <c r="W92" s="172">
        <v>144</v>
      </c>
      <c r="X92" s="172">
        <f t="shared" si="48"/>
        <v>425.1</v>
      </c>
      <c r="Y92" s="198">
        <f t="shared" si="50"/>
        <v>399.06000000000006</v>
      </c>
      <c r="Z92" s="198">
        <f t="shared" si="49"/>
        <v>170.03999999999996</v>
      </c>
      <c r="AA92" s="210"/>
      <c r="AB92" s="210">
        <v>66.5</v>
      </c>
    </row>
    <row r="93" spans="1:28" ht="12.75">
      <c r="A93" s="165">
        <v>62</v>
      </c>
      <c r="B93" s="48">
        <v>1989</v>
      </c>
      <c r="C93" s="48" t="s">
        <v>50</v>
      </c>
      <c r="D93" s="167" t="s">
        <v>115</v>
      </c>
      <c r="E93" s="166">
        <v>45</v>
      </c>
      <c r="F93" s="166" t="s">
        <v>106</v>
      </c>
      <c r="G93" s="166">
        <v>6</v>
      </c>
      <c r="H93" s="166">
        <v>5</v>
      </c>
      <c r="I93" s="170">
        <v>1</v>
      </c>
      <c r="J93" s="166">
        <v>1</v>
      </c>
      <c r="K93" s="166"/>
      <c r="L93" s="170">
        <v>18</v>
      </c>
      <c r="M93" s="48">
        <v>44</v>
      </c>
      <c r="N93" s="175">
        <f t="shared" si="47"/>
        <v>928.8</v>
      </c>
      <c r="O93" s="176">
        <v>825.8</v>
      </c>
      <c r="P93" s="177">
        <f>441.6-0.9</f>
        <v>440.70000000000005</v>
      </c>
      <c r="Q93" s="190"/>
      <c r="R93" s="172"/>
      <c r="S93" s="170"/>
      <c r="T93" s="172"/>
      <c r="U93" s="172"/>
      <c r="V93" s="172">
        <v>100.9</v>
      </c>
      <c r="W93" s="172">
        <v>2.1</v>
      </c>
      <c r="X93" s="172">
        <f t="shared" si="48"/>
        <v>131.17000000000002</v>
      </c>
      <c r="Y93" s="198">
        <f t="shared" si="50"/>
        <v>80.80199999999999</v>
      </c>
      <c r="Z93" s="198">
        <f t="shared" si="49"/>
        <v>52.46800000000002</v>
      </c>
      <c r="AA93" s="210"/>
      <c r="AB93" s="210">
        <v>25.65</v>
      </c>
    </row>
    <row r="94" spans="1:28" ht="12.75">
      <c r="A94" s="165">
        <v>63</v>
      </c>
      <c r="B94" s="48">
        <v>1987</v>
      </c>
      <c r="C94" s="48" t="s">
        <v>50</v>
      </c>
      <c r="D94" s="167" t="s">
        <v>115</v>
      </c>
      <c r="E94" s="166">
        <v>47</v>
      </c>
      <c r="F94" s="166" t="s">
        <v>106</v>
      </c>
      <c r="G94" s="166">
        <v>6</v>
      </c>
      <c r="H94" s="166">
        <v>5</v>
      </c>
      <c r="I94" s="170">
        <v>1</v>
      </c>
      <c r="J94" s="166">
        <v>1</v>
      </c>
      <c r="K94" s="166"/>
      <c r="L94" s="170">
        <v>18</v>
      </c>
      <c r="M94" s="48">
        <v>51</v>
      </c>
      <c r="N94" s="175">
        <f t="shared" si="47"/>
        <v>918.9000000000001</v>
      </c>
      <c r="O94" s="176">
        <v>812.1</v>
      </c>
      <c r="P94" s="177">
        <f>450.3+0.8</f>
        <v>451.1</v>
      </c>
      <c r="Q94" s="190"/>
      <c r="R94" s="172"/>
      <c r="S94" s="170"/>
      <c r="T94" s="172"/>
      <c r="U94" s="172"/>
      <c r="V94" s="172">
        <v>101.7</v>
      </c>
      <c r="W94" s="172">
        <v>5.1</v>
      </c>
      <c r="X94" s="172">
        <f t="shared" si="48"/>
        <v>132.21</v>
      </c>
      <c r="Y94" s="198">
        <f t="shared" si="50"/>
        <v>84.42599999999999</v>
      </c>
      <c r="Z94" s="198">
        <f t="shared" si="49"/>
        <v>52.884000000000015</v>
      </c>
      <c r="AA94" s="210"/>
      <c r="AB94" s="210">
        <v>25.65</v>
      </c>
    </row>
    <row r="95" spans="1:28" ht="12.75">
      <c r="A95" s="165">
        <v>64</v>
      </c>
      <c r="B95" s="48">
        <v>1984</v>
      </c>
      <c r="C95" s="48" t="s">
        <v>50</v>
      </c>
      <c r="D95" s="167" t="s">
        <v>115</v>
      </c>
      <c r="E95" s="166">
        <v>49</v>
      </c>
      <c r="F95" s="166" t="s">
        <v>39</v>
      </c>
      <c r="G95" s="166">
        <v>7</v>
      </c>
      <c r="H95" s="166">
        <v>5</v>
      </c>
      <c r="I95" s="170">
        <v>1</v>
      </c>
      <c r="J95" s="166">
        <v>4</v>
      </c>
      <c r="K95" s="166"/>
      <c r="L95" s="170">
        <v>54</v>
      </c>
      <c r="M95" s="48">
        <v>167</v>
      </c>
      <c r="N95" s="175">
        <f t="shared" si="47"/>
        <v>3915.9</v>
      </c>
      <c r="O95" s="176">
        <v>3350.4</v>
      </c>
      <c r="P95" s="177">
        <f>1889.3+0.2-0.2</f>
        <v>1889.3</v>
      </c>
      <c r="Q95" s="190"/>
      <c r="R95" s="172"/>
      <c r="S95" s="170"/>
      <c r="T95" s="172"/>
      <c r="U95" s="172">
        <v>149.4</v>
      </c>
      <c r="V95" s="172">
        <v>284</v>
      </c>
      <c r="W95" s="172">
        <v>132.1</v>
      </c>
      <c r="X95" s="172">
        <f t="shared" si="48"/>
        <v>369.2</v>
      </c>
      <c r="Y95" s="198">
        <f t="shared" si="50"/>
        <v>353.62</v>
      </c>
      <c r="Z95" s="198">
        <f t="shared" si="49"/>
        <v>147.67999999999995</v>
      </c>
      <c r="AA95" s="210"/>
      <c r="AB95" s="210">
        <v>57.05</v>
      </c>
    </row>
    <row r="96" spans="1:28" ht="12.75">
      <c r="A96" s="165">
        <v>65</v>
      </c>
      <c r="B96" s="48">
        <v>1988</v>
      </c>
      <c r="C96" s="48" t="s">
        <v>50</v>
      </c>
      <c r="D96" s="167" t="s">
        <v>92</v>
      </c>
      <c r="E96" s="166" t="s">
        <v>116</v>
      </c>
      <c r="F96" s="166" t="s">
        <v>39</v>
      </c>
      <c r="G96" s="166">
        <v>10</v>
      </c>
      <c r="H96" s="166">
        <v>3</v>
      </c>
      <c r="I96" s="170">
        <v>1</v>
      </c>
      <c r="J96" s="166">
        <v>3</v>
      </c>
      <c r="K96" s="166"/>
      <c r="L96" s="170">
        <v>36</v>
      </c>
      <c r="M96" s="48">
        <v>106</v>
      </c>
      <c r="N96" s="175">
        <f t="shared" si="47"/>
        <v>2132.6</v>
      </c>
      <c r="O96" s="176">
        <v>1937.7</v>
      </c>
      <c r="P96" s="177">
        <f>1114.6-0.1</f>
        <v>1114.5</v>
      </c>
      <c r="Q96" s="190"/>
      <c r="R96" s="172"/>
      <c r="S96" s="170"/>
      <c r="T96" s="172"/>
      <c r="U96" s="172"/>
      <c r="V96" s="172">
        <v>116.4</v>
      </c>
      <c r="W96" s="172">
        <v>78.5</v>
      </c>
      <c r="X96" s="172">
        <f t="shared" si="48"/>
        <v>151.32000000000002</v>
      </c>
      <c r="Y96" s="198">
        <f t="shared" si="50"/>
        <v>229.82000000000002</v>
      </c>
      <c r="Z96" s="198">
        <f t="shared" si="49"/>
        <v>0</v>
      </c>
      <c r="AA96" s="203">
        <v>25.4</v>
      </c>
      <c r="AB96" s="203"/>
    </row>
    <row r="97" spans="1:28" ht="12.75">
      <c r="A97" s="165">
        <v>66</v>
      </c>
      <c r="B97" s="48">
        <v>1993</v>
      </c>
      <c r="C97" s="48" t="s">
        <v>50</v>
      </c>
      <c r="D97" s="167" t="s">
        <v>115</v>
      </c>
      <c r="E97" s="166">
        <v>11</v>
      </c>
      <c r="F97" s="166" t="s">
        <v>39</v>
      </c>
      <c r="G97" s="166">
        <v>8</v>
      </c>
      <c r="H97" s="166">
        <v>5</v>
      </c>
      <c r="I97" s="170">
        <v>1</v>
      </c>
      <c r="J97" s="166">
        <v>4</v>
      </c>
      <c r="K97" s="166"/>
      <c r="L97" s="170">
        <v>60</v>
      </c>
      <c r="M97" s="48">
        <v>171</v>
      </c>
      <c r="N97" s="175">
        <f t="shared" si="47"/>
        <v>3314.1</v>
      </c>
      <c r="O97" s="176">
        <v>2987.1</v>
      </c>
      <c r="P97" s="177">
        <f>1713.3-0.4-0.1-0.1-0.4-0.2-0.6</f>
        <v>1711.5</v>
      </c>
      <c r="Q97" s="190"/>
      <c r="R97" s="172"/>
      <c r="S97" s="170"/>
      <c r="T97" s="172"/>
      <c r="U97" s="172"/>
      <c r="V97" s="172">
        <v>282.1</v>
      </c>
      <c r="W97" s="172">
        <v>44.9</v>
      </c>
      <c r="X97" s="172">
        <f t="shared" si="48"/>
        <v>366.73</v>
      </c>
      <c r="Y97" s="198">
        <f aca="true" t="shared" si="51" ref="Y97:Y99">W97+X97</f>
        <v>411.63</v>
      </c>
      <c r="Z97" s="198">
        <f t="shared" si="49"/>
        <v>0</v>
      </c>
      <c r="AA97" s="210">
        <v>59</v>
      </c>
      <c r="AB97" s="210"/>
    </row>
    <row r="98" spans="1:28" ht="12.75">
      <c r="A98" s="165">
        <v>67</v>
      </c>
      <c r="B98" s="48">
        <v>1994</v>
      </c>
      <c r="C98" s="48" t="s">
        <v>50</v>
      </c>
      <c r="D98" s="167" t="s">
        <v>115</v>
      </c>
      <c r="E98" s="166" t="s">
        <v>95</v>
      </c>
      <c r="F98" s="166" t="s">
        <v>39</v>
      </c>
      <c r="G98" s="166">
        <v>8</v>
      </c>
      <c r="H98" s="166">
        <v>5</v>
      </c>
      <c r="I98" s="170">
        <v>1</v>
      </c>
      <c r="J98" s="166">
        <v>4</v>
      </c>
      <c r="K98" s="166"/>
      <c r="L98" s="170">
        <v>45</v>
      </c>
      <c r="M98" s="48">
        <v>112</v>
      </c>
      <c r="N98" s="175">
        <f t="shared" si="47"/>
        <v>2504.6</v>
      </c>
      <c r="O98" s="176">
        <v>2255.6</v>
      </c>
      <c r="P98" s="177">
        <f>1307.6-0.6-0.1+0.8-0.6</f>
        <v>1307.1000000000001</v>
      </c>
      <c r="Q98" s="190"/>
      <c r="R98" s="172"/>
      <c r="S98" s="170"/>
      <c r="T98" s="172"/>
      <c r="U98" s="172"/>
      <c r="V98" s="172">
        <v>214.9</v>
      </c>
      <c r="W98" s="172">
        <v>34.1</v>
      </c>
      <c r="X98" s="172">
        <f t="shared" si="48"/>
        <v>279.37</v>
      </c>
      <c r="Y98" s="198">
        <f t="shared" si="51"/>
        <v>313.47</v>
      </c>
      <c r="Z98" s="198">
        <f t="shared" si="49"/>
        <v>0</v>
      </c>
      <c r="AA98" s="210">
        <v>44.3</v>
      </c>
      <c r="AB98" s="210"/>
    </row>
    <row r="99" spans="1:28" ht="12.75">
      <c r="A99" s="165">
        <v>68</v>
      </c>
      <c r="B99" s="48">
        <v>1988</v>
      </c>
      <c r="C99" s="48" t="s">
        <v>50</v>
      </c>
      <c r="D99" s="167" t="s">
        <v>115</v>
      </c>
      <c r="E99" s="166">
        <v>19</v>
      </c>
      <c r="F99" s="166" t="s">
        <v>39</v>
      </c>
      <c r="G99" s="166">
        <v>10</v>
      </c>
      <c r="H99" s="166">
        <v>3</v>
      </c>
      <c r="I99" s="170">
        <v>1</v>
      </c>
      <c r="J99" s="166">
        <v>2</v>
      </c>
      <c r="K99" s="166"/>
      <c r="L99" s="170">
        <v>20</v>
      </c>
      <c r="M99" s="48">
        <v>50</v>
      </c>
      <c r="N99" s="175">
        <f t="shared" si="47"/>
        <v>1333.1</v>
      </c>
      <c r="O99" s="176">
        <v>1147</v>
      </c>
      <c r="P99" s="177">
        <f>698-1.5</f>
        <v>696.5</v>
      </c>
      <c r="Q99" s="190"/>
      <c r="R99" s="172"/>
      <c r="S99" s="170"/>
      <c r="T99" s="172"/>
      <c r="U99" s="172"/>
      <c r="V99" s="172">
        <v>64.5</v>
      </c>
      <c r="W99" s="172">
        <v>121.6</v>
      </c>
      <c r="X99" s="172">
        <f t="shared" si="48"/>
        <v>83.85000000000001</v>
      </c>
      <c r="Y99" s="198">
        <f t="shared" si="51"/>
        <v>205.45</v>
      </c>
      <c r="Z99" s="198">
        <f t="shared" si="49"/>
        <v>0</v>
      </c>
      <c r="AA99" s="210">
        <v>38.7</v>
      </c>
      <c r="AB99" s="210"/>
    </row>
    <row r="100" spans="1:28" ht="12.75">
      <c r="A100" s="165">
        <v>69</v>
      </c>
      <c r="B100" s="48">
        <v>1997</v>
      </c>
      <c r="C100" s="48" t="s">
        <v>50</v>
      </c>
      <c r="D100" s="167" t="s">
        <v>115</v>
      </c>
      <c r="E100" s="166" t="s">
        <v>93</v>
      </c>
      <c r="F100" s="166" t="s">
        <v>106</v>
      </c>
      <c r="G100" s="166">
        <v>5</v>
      </c>
      <c r="H100" s="166">
        <v>5</v>
      </c>
      <c r="I100" s="170">
        <v>1</v>
      </c>
      <c r="J100" s="166">
        <v>3</v>
      </c>
      <c r="K100" s="166"/>
      <c r="L100" s="170">
        <v>28</v>
      </c>
      <c r="M100" s="48">
        <v>101</v>
      </c>
      <c r="N100" s="175">
        <f t="shared" si="47"/>
        <v>2331.7999999999997</v>
      </c>
      <c r="O100" s="176">
        <v>1904.6</v>
      </c>
      <c r="P100" s="177">
        <f>1169.9+9.7</f>
        <v>1179.6000000000001</v>
      </c>
      <c r="Q100" s="190"/>
      <c r="R100" s="172"/>
      <c r="S100" s="170"/>
      <c r="T100" s="172"/>
      <c r="U100" s="172">
        <v>157.5</v>
      </c>
      <c r="V100" s="174">
        <v>259.1</v>
      </c>
      <c r="W100" s="174">
        <v>10.6</v>
      </c>
      <c r="X100" s="172">
        <f t="shared" si="48"/>
        <v>336.83000000000004</v>
      </c>
      <c r="Y100" s="198">
        <f aca="true" t="shared" si="52" ref="Y100:Y105">X100/H100*3+W100</f>
        <v>212.69800000000004</v>
      </c>
      <c r="Z100" s="198">
        <f t="shared" si="49"/>
        <v>134.73200000000003</v>
      </c>
      <c r="AA100" s="210"/>
      <c r="AB100" s="210"/>
    </row>
    <row r="101" spans="1:28" ht="12.75">
      <c r="A101" s="165">
        <v>70</v>
      </c>
      <c r="B101" s="48">
        <v>2002</v>
      </c>
      <c r="C101" s="48"/>
      <c r="D101" s="167" t="s">
        <v>115</v>
      </c>
      <c r="E101" s="166" t="s">
        <v>117</v>
      </c>
      <c r="F101" s="166" t="s">
        <v>106</v>
      </c>
      <c r="G101" s="166">
        <v>5</v>
      </c>
      <c r="H101" s="166">
        <v>5</v>
      </c>
      <c r="I101" s="170">
        <v>1</v>
      </c>
      <c r="J101" s="166">
        <v>3</v>
      </c>
      <c r="K101" s="166"/>
      <c r="L101" s="170">
        <v>27</v>
      </c>
      <c r="M101" s="48">
        <v>61</v>
      </c>
      <c r="N101" s="175">
        <f t="shared" si="47"/>
        <v>2284.31</v>
      </c>
      <c r="O101" s="176">
        <v>1762.31</v>
      </c>
      <c r="P101" s="184">
        <f>1159.8-267.4+2.6+21.4+51.4+21.4</f>
        <v>989.1999999999999</v>
      </c>
      <c r="Q101" s="190">
        <v>259.7</v>
      </c>
      <c r="R101" s="172">
        <f>267.4-21.4-51.4-21.4</f>
        <v>173.19999999999996</v>
      </c>
      <c r="S101" s="170"/>
      <c r="T101" s="172"/>
      <c r="U101" s="172"/>
      <c r="V101" s="172">
        <f>13.2+13.6+13.9+52.4+52.4+52.4+52.4</f>
        <v>250.3</v>
      </c>
      <c r="W101" s="172">
        <f>262.3-V101</f>
        <v>12</v>
      </c>
      <c r="X101" s="172">
        <f t="shared" si="48"/>
        <v>325.39000000000004</v>
      </c>
      <c r="Y101" s="198">
        <f>X101/H101*3</f>
        <v>195.234</v>
      </c>
      <c r="Z101" s="198">
        <f t="shared" si="49"/>
        <v>142.15600000000003</v>
      </c>
      <c r="AA101" s="210">
        <f>33.1+33.1+33.1+33.1+33.1</f>
        <v>165.5</v>
      </c>
      <c r="AB101" s="210"/>
    </row>
    <row r="102" spans="1:28" ht="12.75">
      <c r="A102" s="165">
        <v>71</v>
      </c>
      <c r="B102" s="48">
        <v>2001</v>
      </c>
      <c r="C102" s="48" t="s">
        <v>118</v>
      </c>
      <c r="D102" s="167" t="s">
        <v>115</v>
      </c>
      <c r="E102" s="166" t="s">
        <v>119</v>
      </c>
      <c r="F102" s="166" t="s">
        <v>39</v>
      </c>
      <c r="G102" s="166">
        <v>8</v>
      </c>
      <c r="H102" s="166">
        <v>5</v>
      </c>
      <c r="I102" s="170">
        <v>1</v>
      </c>
      <c r="J102" s="166">
        <v>4</v>
      </c>
      <c r="K102" s="166"/>
      <c r="L102" s="170">
        <v>40</v>
      </c>
      <c r="M102" s="48">
        <v>138</v>
      </c>
      <c r="N102" s="175">
        <f t="shared" si="47"/>
        <v>3176.8</v>
      </c>
      <c r="O102" s="176">
        <v>2854.4</v>
      </c>
      <c r="P102" s="177">
        <v>1829.7</v>
      </c>
      <c r="Q102" s="190"/>
      <c r="R102" s="172"/>
      <c r="S102" s="170"/>
      <c r="T102" s="172"/>
      <c r="U102" s="172"/>
      <c r="V102" s="199">
        <v>278</v>
      </c>
      <c r="W102" s="172">
        <v>44.4</v>
      </c>
      <c r="X102" s="172">
        <f t="shared" si="48"/>
        <v>361.40000000000003</v>
      </c>
      <c r="Y102" s="198">
        <f>X102/H102*3</f>
        <v>216.84</v>
      </c>
      <c r="Z102" s="198">
        <f t="shared" si="49"/>
        <v>188.96</v>
      </c>
      <c r="AA102" s="210">
        <v>48.2</v>
      </c>
      <c r="AB102" s="210"/>
    </row>
    <row r="103" spans="1:28" ht="12.75">
      <c r="A103" s="165">
        <v>72</v>
      </c>
      <c r="B103" s="48">
        <v>1988</v>
      </c>
      <c r="C103" s="48" t="s">
        <v>50</v>
      </c>
      <c r="D103" s="167" t="s">
        <v>62</v>
      </c>
      <c r="E103" s="166" t="s">
        <v>120</v>
      </c>
      <c r="F103" s="166" t="s">
        <v>39</v>
      </c>
      <c r="G103" s="166">
        <v>10</v>
      </c>
      <c r="H103" s="166">
        <v>2</v>
      </c>
      <c r="I103" s="170">
        <v>1</v>
      </c>
      <c r="J103" s="166">
        <v>3</v>
      </c>
      <c r="K103" s="166"/>
      <c r="L103" s="170">
        <v>24</v>
      </c>
      <c r="M103" s="48">
        <v>44</v>
      </c>
      <c r="N103" s="175">
        <f t="shared" si="47"/>
        <v>1011.7</v>
      </c>
      <c r="O103" s="176">
        <v>876.4</v>
      </c>
      <c r="P103" s="177">
        <v>440.2</v>
      </c>
      <c r="Q103" s="190"/>
      <c r="R103" s="172"/>
      <c r="S103" s="170"/>
      <c r="T103" s="172"/>
      <c r="U103" s="172"/>
      <c r="V103" s="172">
        <v>109.6</v>
      </c>
      <c r="W103" s="172">
        <v>25.7</v>
      </c>
      <c r="X103" s="172">
        <f t="shared" si="48"/>
        <v>142.48</v>
      </c>
      <c r="Y103" s="198">
        <f aca="true" t="shared" si="53" ref="Y103:Y110">W103+X103</f>
        <v>168.17999999999998</v>
      </c>
      <c r="Z103" s="198">
        <f t="shared" si="49"/>
        <v>0</v>
      </c>
      <c r="AA103" s="210">
        <v>88.8</v>
      </c>
      <c r="AB103" s="210"/>
    </row>
    <row r="104" spans="1:28" ht="12.75">
      <c r="A104" s="165">
        <v>73</v>
      </c>
      <c r="B104" s="48">
        <v>1989</v>
      </c>
      <c r="C104" s="48" t="s">
        <v>50</v>
      </c>
      <c r="D104" s="167" t="s">
        <v>62</v>
      </c>
      <c r="E104" s="166">
        <v>64</v>
      </c>
      <c r="F104" s="166" t="s">
        <v>39</v>
      </c>
      <c r="G104" s="166">
        <v>8</v>
      </c>
      <c r="H104" s="166">
        <v>5</v>
      </c>
      <c r="I104" s="170">
        <v>1</v>
      </c>
      <c r="J104" s="166">
        <v>4</v>
      </c>
      <c r="K104" s="166"/>
      <c r="L104" s="170">
        <v>60</v>
      </c>
      <c r="M104" s="48">
        <v>163</v>
      </c>
      <c r="N104" s="175">
        <f t="shared" si="47"/>
        <v>3236.6</v>
      </c>
      <c r="O104" s="185">
        <v>2912</v>
      </c>
      <c r="P104" s="177">
        <f>1701+0+0.3-10.6-0.5</f>
        <v>1690.2</v>
      </c>
      <c r="Q104" s="190"/>
      <c r="R104" s="172"/>
      <c r="S104" s="170"/>
      <c r="T104" s="172"/>
      <c r="U104" s="172"/>
      <c r="V104" s="172">
        <v>280.6</v>
      </c>
      <c r="W104" s="172">
        <v>44</v>
      </c>
      <c r="X104" s="172">
        <f t="shared" si="48"/>
        <v>364.78000000000003</v>
      </c>
      <c r="Y104" s="198">
        <f t="shared" si="52"/>
        <v>262.868</v>
      </c>
      <c r="Z104" s="198">
        <f t="shared" si="49"/>
        <v>145.91200000000003</v>
      </c>
      <c r="AA104" s="210">
        <v>64.7</v>
      </c>
      <c r="AB104" s="210"/>
    </row>
    <row r="105" spans="1:28" ht="12.75">
      <c r="A105" s="165">
        <v>74</v>
      </c>
      <c r="B105" s="48">
        <v>1988</v>
      </c>
      <c r="C105" s="48" t="s">
        <v>50</v>
      </c>
      <c r="D105" s="167" t="s">
        <v>62</v>
      </c>
      <c r="E105" s="166" t="s">
        <v>121</v>
      </c>
      <c r="F105" s="166" t="s">
        <v>39</v>
      </c>
      <c r="G105" s="166">
        <v>8</v>
      </c>
      <c r="H105" s="166">
        <v>5</v>
      </c>
      <c r="I105" s="170">
        <v>1</v>
      </c>
      <c r="J105" s="166">
        <v>4</v>
      </c>
      <c r="K105" s="166"/>
      <c r="L105" s="170">
        <v>60</v>
      </c>
      <c r="M105" s="48">
        <v>167</v>
      </c>
      <c r="N105" s="175">
        <f t="shared" si="47"/>
        <v>3264</v>
      </c>
      <c r="O105" s="176">
        <v>2940</v>
      </c>
      <c r="P105" s="177">
        <f>1685+0</f>
        <v>1685</v>
      </c>
      <c r="Q105" s="190"/>
      <c r="R105" s="172"/>
      <c r="S105" s="170"/>
      <c r="T105" s="172"/>
      <c r="U105" s="172"/>
      <c r="V105" s="172">
        <v>279</v>
      </c>
      <c r="W105" s="172">
        <v>45</v>
      </c>
      <c r="X105" s="172">
        <f t="shared" si="48"/>
        <v>362.7</v>
      </c>
      <c r="Y105" s="198">
        <f t="shared" si="52"/>
        <v>262.62</v>
      </c>
      <c r="Z105" s="198">
        <f t="shared" si="49"/>
        <v>145.07999999999998</v>
      </c>
      <c r="AA105" s="210">
        <v>64.7</v>
      </c>
      <c r="AB105" s="210"/>
    </row>
    <row r="106" spans="1:28" ht="12.75">
      <c r="A106" s="165">
        <v>75</v>
      </c>
      <c r="B106" s="48">
        <v>1988</v>
      </c>
      <c r="C106" s="48" t="s">
        <v>50</v>
      </c>
      <c r="D106" s="167" t="s">
        <v>62</v>
      </c>
      <c r="E106" s="166">
        <v>70</v>
      </c>
      <c r="F106" s="166" t="s">
        <v>106</v>
      </c>
      <c r="G106" s="166">
        <v>12</v>
      </c>
      <c r="H106" s="166">
        <v>3</v>
      </c>
      <c r="I106" s="170">
        <v>1</v>
      </c>
      <c r="J106" s="166">
        <v>1</v>
      </c>
      <c r="K106" s="166"/>
      <c r="L106" s="170">
        <v>4</v>
      </c>
      <c r="M106" s="48">
        <v>15</v>
      </c>
      <c r="N106" s="175">
        <f t="shared" si="47"/>
        <v>602.0999999999999</v>
      </c>
      <c r="O106" s="176">
        <v>259.7</v>
      </c>
      <c r="P106" s="177">
        <v>152.6</v>
      </c>
      <c r="Q106" s="190"/>
      <c r="R106" s="172"/>
      <c r="S106" s="170"/>
      <c r="T106" s="172"/>
      <c r="U106" s="200">
        <v>269.9</v>
      </c>
      <c r="V106" s="172">
        <v>47.7</v>
      </c>
      <c r="W106" s="172">
        <v>24.8</v>
      </c>
      <c r="X106" s="172">
        <f t="shared" si="48"/>
        <v>62.010000000000005</v>
      </c>
      <c r="Y106" s="198">
        <f t="shared" si="53"/>
        <v>86.81</v>
      </c>
      <c r="Z106" s="198">
        <f t="shared" si="49"/>
        <v>0</v>
      </c>
      <c r="AA106" s="210">
        <v>10.5</v>
      </c>
      <c r="AB106" s="210"/>
    </row>
    <row r="107" spans="1:28" ht="12.75">
      <c r="A107" s="165">
        <v>76</v>
      </c>
      <c r="B107" s="48">
        <v>1995</v>
      </c>
      <c r="C107" s="48" t="s">
        <v>50</v>
      </c>
      <c r="D107" s="167" t="s">
        <v>62</v>
      </c>
      <c r="E107" s="166" t="s">
        <v>122</v>
      </c>
      <c r="F107" s="166" t="s">
        <v>39</v>
      </c>
      <c r="G107" s="166">
        <v>10</v>
      </c>
      <c r="H107" s="166">
        <v>3</v>
      </c>
      <c r="I107" s="170">
        <v>1</v>
      </c>
      <c r="J107" s="166">
        <v>3</v>
      </c>
      <c r="K107" s="166"/>
      <c r="L107" s="170">
        <v>24</v>
      </c>
      <c r="M107" s="48">
        <v>65</v>
      </c>
      <c r="N107" s="175">
        <f t="shared" si="47"/>
        <v>1454.3000000000002</v>
      </c>
      <c r="O107" s="176">
        <v>1287.4</v>
      </c>
      <c r="P107" s="177">
        <v>791.3</v>
      </c>
      <c r="Q107" s="190"/>
      <c r="R107" s="172"/>
      <c r="S107" s="170"/>
      <c r="T107" s="172"/>
      <c r="U107" s="172"/>
      <c r="V107" s="172">
        <v>122.4</v>
      </c>
      <c r="W107" s="172">
        <v>44.5</v>
      </c>
      <c r="X107" s="172">
        <f t="shared" si="48"/>
        <v>159.12</v>
      </c>
      <c r="Y107" s="198">
        <f t="shared" si="53"/>
        <v>203.62</v>
      </c>
      <c r="Z107" s="198">
        <f t="shared" si="49"/>
        <v>0</v>
      </c>
      <c r="AA107" s="210">
        <v>33.1</v>
      </c>
      <c r="AB107" s="210"/>
    </row>
    <row r="108" spans="1:28" ht="12.75">
      <c r="A108" s="165">
        <v>77</v>
      </c>
      <c r="B108" s="48">
        <v>1986</v>
      </c>
      <c r="C108" s="48" t="s">
        <v>50</v>
      </c>
      <c r="D108" s="167" t="s">
        <v>62</v>
      </c>
      <c r="E108" s="166">
        <v>74</v>
      </c>
      <c r="F108" s="166" t="s">
        <v>106</v>
      </c>
      <c r="G108" s="166">
        <v>12</v>
      </c>
      <c r="H108" s="166">
        <v>3</v>
      </c>
      <c r="I108" s="170">
        <v>1</v>
      </c>
      <c r="J108" s="166">
        <v>1</v>
      </c>
      <c r="K108" s="166"/>
      <c r="L108" s="170">
        <v>4</v>
      </c>
      <c r="M108" s="48">
        <v>12</v>
      </c>
      <c r="N108" s="175">
        <f t="shared" si="47"/>
        <v>441.1</v>
      </c>
      <c r="O108" s="176">
        <v>257.6</v>
      </c>
      <c r="P108" s="177">
        <v>152</v>
      </c>
      <c r="Q108" s="190"/>
      <c r="R108" s="172"/>
      <c r="S108" s="170"/>
      <c r="T108" s="172"/>
      <c r="U108" s="172">
        <v>122.5</v>
      </c>
      <c r="V108" s="172">
        <v>37.6</v>
      </c>
      <c r="W108" s="172">
        <v>23.4</v>
      </c>
      <c r="X108" s="172">
        <f t="shared" si="48"/>
        <v>48.88</v>
      </c>
      <c r="Y108" s="198">
        <f t="shared" si="53"/>
        <v>72.28</v>
      </c>
      <c r="Z108" s="198">
        <f t="shared" si="49"/>
        <v>0</v>
      </c>
      <c r="AA108" s="210">
        <v>11.4</v>
      </c>
      <c r="AB108" s="210"/>
    </row>
    <row r="109" spans="1:28" ht="12.75">
      <c r="A109" s="165">
        <v>78</v>
      </c>
      <c r="B109" s="48">
        <v>1984</v>
      </c>
      <c r="C109" s="48" t="s">
        <v>50</v>
      </c>
      <c r="D109" s="167" t="s">
        <v>62</v>
      </c>
      <c r="E109" s="166" t="s">
        <v>123</v>
      </c>
      <c r="F109" s="166" t="s">
        <v>39</v>
      </c>
      <c r="G109" s="166">
        <v>10</v>
      </c>
      <c r="H109" s="166">
        <v>2</v>
      </c>
      <c r="I109" s="170">
        <v>1</v>
      </c>
      <c r="J109" s="166">
        <v>2</v>
      </c>
      <c r="K109" s="166"/>
      <c r="L109" s="170">
        <v>24</v>
      </c>
      <c r="M109" s="48">
        <v>52</v>
      </c>
      <c r="N109" s="175">
        <f t="shared" si="47"/>
        <v>1192.3999999999999</v>
      </c>
      <c r="O109" s="176">
        <v>1055.1</v>
      </c>
      <c r="P109" s="177">
        <v>559.1</v>
      </c>
      <c r="Q109" s="190"/>
      <c r="R109" s="172"/>
      <c r="S109" s="170"/>
      <c r="T109" s="172"/>
      <c r="U109" s="172"/>
      <c r="V109" s="172">
        <v>65.2</v>
      </c>
      <c r="W109" s="172">
        <v>72.1</v>
      </c>
      <c r="X109" s="172">
        <f t="shared" si="48"/>
        <v>84.76</v>
      </c>
      <c r="Y109" s="198">
        <f t="shared" si="53"/>
        <v>156.86</v>
      </c>
      <c r="Z109" s="198">
        <f t="shared" si="49"/>
        <v>0</v>
      </c>
      <c r="AA109" s="210">
        <v>25.2</v>
      </c>
      <c r="AB109" s="210"/>
    </row>
    <row r="110" spans="1:28" ht="12.75">
      <c r="A110" s="165">
        <v>79</v>
      </c>
      <c r="B110" s="48">
        <v>1984</v>
      </c>
      <c r="C110" s="48"/>
      <c r="D110" s="167" t="s">
        <v>115</v>
      </c>
      <c r="E110" s="166">
        <v>51</v>
      </c>
      <c r="F110" s="166" t="s">
        <v>39</v>
      </c>
      <c r="G110" s="166">
        <v>7</v>
      </c>
      <c r="H110" s="166">
        <v>5</v>
      </c>
      <c r="I110" s="170">
        <v>1</v>
      </c>
      <c r="J110" s="166">
        <v>1</v>
      </c>
      <c r="K110" s="166"/>
      <c r="L110" s="170">
        <v>16</v>
      </c>
      <c r="M110" s="48">
        <v>48</v>
      </c>
      <c r="N110" s="175">
        <f t="shared" si="47"/>
        <v>1185</v>
      </c>
      <c r="O110" s="176">
        <v>895.8</v>
      </c>
      <c r="P110" s="177">
        <v>534</v>
      </c>
      <c r="Q110" s="190"/>
      <c r="R110" s="172"/>
      <c r="S110" s="170">
        <v>152.9</v>
      </c>
      <c r="T110" s="172"/>
      <c r="U110" s="172"/>
      <c r="V110" s="172">
        <v>71.5</v>
      </c>
      <c r="W110" s="172">
        <v>64.8</v>
      </c>
      <c r="X110" s="172">
        <f t="shared" si="48"/>
        <v>92.95</v>
      </c>
      <c r="Y110" s="198">
        <f t="shared" si="53"/>
        <v>157.75</v>
      </c>
      <c r="Z110" s="198">
        <f t="shared" si="49"/>
        <v>0</v>
      </c>
      <c r="AA110" s="212"/>
      <c r="AB110" s="212"/>
    </row>
    <row r="111" spans="1:28" ht="12.75">
      <c r="A111" s="165"/>
      <c r="B111" s="48"/>
      <c r="C111" s="48"/>
      <c r="D111" s="167"/>
      <c r="E111" s="170"/>
      <c r="F111" s="170"/>
      <c r="G111" s="170"/>
      <c r="H111" s="170"/>
      <c r="I111" s="166">
        <f aca="true" t="shared" si="54" ref="I111:P111">SUM(I82:I110)</f>
        <v>29</v>
      </c>
      <c r="J111" s="166">
        <f t="shared" si="54"/>
        <v>75</v>
      </c>
      <c r="K111" s="166">
        <f t="shared" si="54"/>
        <v>0</v>
      </c>
      <c r="L111" s="166">
        <f t="shared" si="54"/>
        <v>928</v>
      </c>
      <c r="M111" s="166">
        <f t="shared" si="54"/>
        <v>2551</v>
      </c>
      <c r="N111" s="180">
        <f t="shared" si="54"/>
        <v>60513.31</v>
      </c>
      <c r="O111" s="166">
        <f t="shared" si="54"/>
        <v>51626.11</v>
      </c>
      <c r="P111" s="181">
        <f t="shared" si="54"/>
        <v>29675.099999999995</v>
      </c>
      <c r="Q111" s="195">
        <f aca="true" t="shared" si="55" ref="Q111:AB111">SUM(Q82:Q109)</f>
        <v>350.79999999999995</v>
      </c>
      <c r="R111" s="166">
        <f t="shared" si="55"/>
        <v>203.79999999999995</v>
      </c>
      <c r="S111" s="166">
        <f t="shared" si="55"/>
        <v>174.7</v>
      </c>
      <c r="T111" s="166">
        <f t="shared" si="55"/>
        <v>63.4</v>
      </c>
      <c r="U111" s="166">
        <f t="shared" si="55"/>
        <v>1657.6999999999998</v>
      </c>
      <c r="V111" s="166">
        <f aca="true" t="shared" si="56" ref="V111:Z111">SUM(V82:V110)</f>
        <v>4827.7</v>
      </c>
      <c r="W111" s="166">
        <f t="shared" si="56"/>
        <v>1723.3999999999999</v>
      </c>
      <c r="X111" s="166">
        <f t="shared" si="56"/>
        <v>6276.009999999999</v>
      </c>
      <c r="Y111" s="166">
        <f t="shared" si="56"/>
        <v>6077.978000000001</v>
      </c>
      <c r="Z111" s="166">
        <f t="shared" si="56"/>
        <v>1921.432</v>
      </c>
      <c r="AA111" s="213">
        <f t="shared" si="55"/>
        <v>679.5000000000001</v>
      </c>
      <c r="AB111" s="213">
        <f t="shared" si="55"/>
        <v>544.1499999999999</v>
      </c>
    </row>
    <row r="112" spans="1:28" ht="12.75">
      <c r="A112" s="165"/>
      <c r="B112" s="48"/>
      <c r="C112" s="48"/>
      <c r="D112" s="167"/>
      <c r="E112" s="170"/>
      <c r="F112" s="170"/>
      <c r="G112" s="170"/>
      <c r="H112" s="170"/>
      <c r="I112" s="166"/>
      <c r="J112" s="166"/>
      <c r="K112" s="166"/>
      <c r="L112" s="47"/>
      <c r="M112" s="170"/>
      <c r="N112" s="186"/>
      <c r="O112" s="173"/>
      <c r="P112" s="187"/>
      <c r="Q112" s="193"/>
      <c r="R112" s="166"/>
      <c r="S112" s="166"/>
      <c r="T112" s="166"/>
      <c r="U112" s="166"/>
      <c r="V112" s="166"/>
      <c r="W112" s="166"/>
      <c r="X112" s="166"/>
      <c r="Y112" s="166"/>
      <c r="Z112" s="166"/>
      <c r="AA112" s="213"/>
      <c r="AB112" s="213"/>
    </row>
    <row r="113" spans="1:28" ht="12.75">
      <c r="A113" s="168"/>
      <c r="B113" s="49"/>
      <c r="C113" s="49"/>
      <c r="D113" s="169" t="s">
        <v>90</v>
      </c>
      <c r="E113" s="166"/>
      <c r="F113" s="166"/>
      <c r="G113" s="166"/>
      <c r="H113" s="166"/>
      <c r="I113" s="173">
        <f aca="true" t="shared" si="57" ref="I113:AB113">I111+I80+I72</f>
        <v>41</v>
      </c>
      <c r="J113" s="173">
        <f t="shared" si="57"/>
        <v>108</v>
      </c>
      <c r="K113" s="173">
        <f t="shared" si="57"/>
        <v>0</v>
      </c>
      <c r="L113" s="173">
        <f t="shared" si="57"/>
        <v>1304</v>
      </c>
      <c r="M113" s="173">
        <f t="shared" si="57"/>
        <v>3633</v>
      </c>
      <c r="N113" s="186">
        <f t="shared" si="57"/>
        <v>86267.61</v>
      </c>
      <c r="O113" s="173">
        <f t="shared" si="57"/>
        <v>71858.71</v>
      </c>
      <c r="P113" s="187">
        <f t="shared" si="57"/>
        <v>41195.19999999999</v>
      </c>
      <c r="Q113" s="196">
        <f t="shared" si="57"/>
        <v>415.79999999999995</v>
      </c>
      <c r="R113" s="197">
        <f t="shared" si="57"/>
        <v>203.79999999999995</v>
      </c>
      <c r="S113" s="173">
        <f t="shared" si="57"/>
        <v>402</v>
      </c>
      <c r="T113" s="173">
        <f t="shared" si="57"/>
        <v>241.6</v>
      </c>
      <c r="U113" s="173">
        <f t="shared" si="57"/>
        <v>4392.9</v>
      </c>
      <c r="V113" s="197">
        <f t="shared" si="57"/>
        <v>6608.5</v>
      </c>
      <c r="W113" s="201">
        <f t="shared" si="57"/>
        <v>2436.7999999999997</v>
      </c>
      <c r="X113" s="201">
        <f t="shared" si="57"/>
        <v>8591.05</v>
      </c>
      <c r="Y113" s="201">
        <f t="shared" si="57"/>
        <v>8116.7840000000015</v>
      </c>
      <c r="Z113" s="201">
        <f t="shared" si="57"/>
        <v>2496.656</v>
      </c>
      <c r="AA113" s="214">
        <f t="shared" si="57"/>
        <v>799.7000000000002</v>
      </c>
      <c r="AB113" s="211">
        <f t="shared" si="57"/>
        <v>704.55</v>
      </c>
    </row>
    <row r="114" spans="1:28" ht="12.75">
      <c r="A114" s="165"/>
      <c r="B114" s="48"/>
      <c r="C114" s="48"/>
      <c r="D114" s="166" t="s">
        <v>124</v>
      </c>
      <c r="E114" s="170"/>
      <c r="F114" s="170"/>
      <c r="G114" s="170"/>
      <c r="H114" s="170"/>
      <c r="I114" s="170"/>
      <c r="J114" s="170"/>
      <c r="K114" s="170"/>
      <c r="L114" s="172"/>
      <c r="M114" s="49"/>
      <c r="N114" s="175"/>
      <c r="O114" s="176"/>
      <c r="P114" s="177"/>
      <c r="Q114" s="190"/>
      <c r="R114" s="172"/>
      <c r="S114" s="172"/>
      <c r="T114" s="172"/>
      <c r="U114" s="172"/>
      <c r="V114" s="172"/>
      <c r="W114" s="172"/>
      <c r="X114" s="172"/>
      <c r="Y114" s="172"/>
      <c r="Z114" s="172"/>
      <c r="AA114" s="215"/>
      <c r="AB114" s="216"/>
    </row>
    <row r="115" spans="1:28" ht="12.75">
      <c r="A115" s="165">
        <v>80</v>
      </c>
      <c r="B115" s="48">
        <v>1989</v>
      </c>
      <c r="C115" s="48" t="s">
        <v>125</v>
      </c>
      <c r="D115" s="167" t="s">
        <v>45</v>
      </c>
      <c r="E115" s="166">
        <v>78</v>
      </c>
      <c r="F115" s="170" t="s">
        <v>39</v>
      </c>
      <c r="G115" s="166">
        <v>3</v>
      </c>
      <c r="H115" s="166">
        <v>9</v>
      </c>
      <c r="I115" s="166">
        <v>1</v>
      </c>
      <c r="J115" s="166">
        <v>1</v>
      </c>
      <c r="K115" s="166"/>
      <c r="L115" s="48">
        <f>9+96</f>
        <v>105</v>
      </c>
      <c r="M115" s="48">
        <v>262</v>
      </c>
      <c r="N115" s="188">
        <f aca="true" t="shared" si="58" ref="N115:N119">O115+Q115+S115+U115+V115+W115</f>
        <v>6325.799999999999</v>
      </c>
      <c r="O115" s="185">
        <v>4538.9</v>
      </c>
      <c r="P115" s="183">
        <f>2541.6+25.6-25.5-0.1-0.2</f>
        <v>2541.4</v>
      </c>
      <c r="Q115" s="190"/>
      <c r="R115" s="172"/>
      <c r="S115" s="172">
        <v>272.6</v>
      </c>
      <c r="T115" s="172">
        <f>25.3+25.3+25.5+15.4</f>
        <v>91.5</v>
      </c>
      <c r="U115" s="172"/>
      <c r="V115" s="172">
        <v>137.7</v>
      </c>
      <c r="W115" s="172">
        <f>1361+15.6</f>
        <v>1376.6</v>
      </c>
      <c r="X115" s="172">
        <f aca="true" t="shared" si="59" ref="X115:X146">V115*1.3</f>
        <v>179.01</v>
      </c>
      <c r="Y115" s="198">
        <f aca="true" t="shared" si="60" ref="Y115:Y118">W115/H115*4+X115/H115*4</f>
        <v>691.3822222222223</v>
      </c>
      <c r="Z115" s="198">
        <f aca="true" t="shared" si="61" ref="Z115:Z146">W115+X115-Y115</f>
        <v>864.2277777777776</v>
      </c>
      <c r="AA115" s="217"/>
      <c r="AB115" s="203">
        <v>75.6</v>
      </c>
    </row>
    <row r="116" spans="1:28" ht="12.75">
      <c r="A116" s="165">
        <v>81</v>
      </c>
      <c r="B116" s="48">
        <v>1990</v>
      </c>
      <c r="C116" s="48" t="s">
        <v>126</v>
      </c>
      <c r="D116" s="167" t="s">
        <v>45</v>
      </c>
      <c r="E116" s="166" t="s">
        <v>127</v>
      </c>
      <c r="F116" s="170" t="s">
        <v>39</v>
      </c>
      <c r="G116" s="166">
        <v>3</v>
      </c>
      <c r="H116" s="166">
        <v>9</v>
      </c>
      <c r="I116" s="166">
        <v>1</v>
      </c>
      <c r="J116" s="166">
        <v>1</v>
      </c>
      <c r="K116" s="166"/>
      <c r="L116" s="48">
        <v>108</v>
      </c>
      <c r="M116" s="48">
        <v>279</v>
      </c>
      <c r="N116" s="175">
        <f t="shared" si="58"/>
        <v>6226.700000000001</v>
      </c>
      <c r="O116" s="176">
        <v>4731.8</v>
      </c>
      <c r="P116" s="183">
        <f>2699.2-0.3-0.5</f>
        <v>2698.3999999999996</v>
      </c>
      <c r="Q116" s="190"/>
      <c r="R116" s="172"/>
      <c r="S116" s="172"/>
      <c r="T116" s="172"/>
      <c r="U116" s="172"/>
      <c r="V116" s="172">
        <v>138</v>
      </c>
      <c r="W116" s="172">
        <v>1356.9</v>
      </c>
      <c r="X116" s="172">
        <f t="shared" si="59"/>
        <v>179.4</v>
      </c>
      <c r="Y116" s="198">
        <f t="shared" si="60"/>
        <v>682.8000000000001</v>
      </c>
      <c r="Z116" s="198">
        <f t="shared" si="61"/>
        <v>853.5000000000001</v>
      </c>
      <c r="AA116" s="190"/>
      <c r="AB116" s="210">
        <v>81</v>
      </c>
    </row>
    <row r="117" spans="1:28" ht="12.75">
      <c r="A117" s="165">
        <v>82</v>
      </c>
      <c r="B117" s="48">
        <v>1990</v>
      </c>
      <c r="C117" s="48" t="s">
        <v>63</v>
      </c>
      <c r="D117" s="167" t="s">
        <v>45</v>
      </c>
      <c r="E117" s="166">
        <v>80</v>
      </c>
      <c r="F117" s="170" t="s">
        <v>39</v>
      </c>
      <c r="G117" s="166">
        <v>3</v>
      </c>
      <c r="H117" s="166">
        <v>9</v>
      </c>
      <c r="I117" s="166">
        <v>1</v>
      </c>
      <c r="J117" s="166">
        <v>1</v>
      </c>
      <c r="K117" s="166"/>
      <c r="L117" s="48">
        <v>108</v>
      </c>
      <c r="M117" s="48">
        <v>299</v>
      </c>
      <c r="N117" s="175">
        <f t="shared" si="58"/>
        <v>6315.3</v>
      </c>
      <c r="O117" s="176">
        <v>4775.7</v>
      </c>
      <c r="P117" s="183">
        <v>2729.1</v>
      </c>
      <c r="Q117" s="190"/>
      <c r="R117" s="172"/>
      <c r="S117" s="172">
        <v>44.1</v>
      </c>
      <c r="T117" s="172"/>
      <c r="U117" s="172"/>
      <c r="V117" s="172">
        <v>137.7</v>
      </c>
      <c r="W117" s="172">
        <v>1357.8</v>
      </c>
      <c r="X117" s="172">
        <f t="shared" si="59"/>
        <v>179.01</v>
      </c>
      <c r="Y117" s="198">
        <f t="shared" si="60"/>
        <v>683.0266666666666</v>
      </c>
      <c r="Z117" s="198">
        <f t="shared" si="61"/>
        <v>853.7833333333333</v>
      </c>
      <c r="AA117" s="190"/>
      <c r="AB117" s="210">
        <v>81</v>
      </c>
    </row>
    <row r="118" spans="1:28" ht="12.75">
      <c r="A118" s="165">
        <v>83</v>
      </c>
      <c r="B118" s="48">
        <v>1989</v>
      </c>
      <c r="C118" s="48" t="s">
        <v>128</v>
      </c>
      <c r="D118" s="167" t="s">
        <v>45</v>
      </c>
      <c r="E118" s="166">
        <v>88</v>
      </c>
      <c r="F118" s="170" t="s">
        <v>39</v>
      </c>
      <c r="G118" s="166">
        <v>3</v>
      </c>
      <c r="H118" s="166">
        <v>9</v>
      </c>
      <c r="I118" s="166">
        <v>1</v>
      </c>
      <c r="J118" s="166">
        <v>1</v>
      </c>
      <c r="K118" s="166"/>
      <c r="L118" s="48">
        <v>104</v>
      </c>
      <c r="M118" s="48">
        <v>303</v>
      </c>
      <c r="N118" s="175">
        <f t="shared" si="58"/>
        <v>6347.799999999999</v>
      </c>
      <c r="O118" s="176">
        <v>4638.9</v>
      </c>
      <c r="P118" s="183">
        <f>2573.6+0.2-0.1-0.1+0.1-0.4-1.1</f>
        <v>2572.2</v>
      </c>
      <c r="Q118" s="190"/>
      <c r="R118" s="172"/>
      <c r="S118" s="172">
        <v>210.3</v>
      </c>
      <c r="T118" s="172"/>
      <c r="U118" s="172"/>
      <c r="V118" s="172">
        <v>138.4</v>
      </c>
      <c r="W118" s="172">
        <v>1360.2</v>
      </c>
      <c r="X118" s="172">
        <f t="shared" si="59"/>
        <v>179.92000000000002</v>
      </c>
      <c r="Y118" s="198">
        <f t="shared" si="60"/>
        <v>684.4977777777777</v>
      </c>
      <c r="Z118" s="198">
        <f t="shared" si="61"/>
        <v>855.6222222222224</v>
      </c>
      <c r="AA118" s="190"/>
      <c r="AB118" s="210">
        <v>81</v>
      </c>
    </row>
    <row r="119" spans="1:28" ht="12.75">
      <c r="A119" s="165">
        <v>84</v>
      </c>
      <c r="B119" s="48">
        <v>1985</v>
      </c>
      <c r="C119" s="48" t="s">
        <v>129</v>
      </c>
      <c r="D119" s="167" t="s">
        <v>45</v>
      </c>
      <c r="E119" s="166">
        <v>82</v>
      </c>
      <c r="F119" s="170" t="s">
        <v>39</v>
      </c>
      <c r="G119" s="170">
        <v>8</v>
      </c>
      <c r="H119" s="170">
        <v>5</v>
      </c>
      <c r="I119" s="166">
        <v>1</v>
      </c>
      <c r="J119" s="170">
        <v>8</v>
      </c>
      <c r="K119" s="170"/>
      <c r="L119" s="48">
        <v>120</v>
      </c>
      <c r="M119" s="48">
        <v>291</v>
      </c>
      <c r="N119" s="175">
        <f t="shared" si="58"/>
        <v>6567.9</v>
      </c>
      <c r="O119" s="176">
        <v>5911.6</v>
      </c>
      <c r="P119" s="183">
        <f>3402.3+0.2-18</f>
        <v>3384.5</v>
      </c>
      <c r="Q119" s="190"/>
      <c r="R119" s="172"/>
      <c r="S119" s="172"/>
      <c r="T119" s="172"/>
      <c r="U119" s="172"/>
      <c r="V119" s="172">
        <v>567.4</v>
      </c>
      <c r="W119" s="47">
        <f>88.9+17.5-17.5</f>
        <v>88.9</v>
      </c>
      <c r="X119" s="172">
        <f t="shared" si="59"/>
        <v>737.62</v>
      </c>
      <c r="Y119" s="198">
        <f aca="true" t="shared" si="62" ref="Y119:Y145">X119/H119*3+W119</f>
        <v>531.472</v>
      </c>
      <c r="Z119" s="198">
        <f t="shared" si="61"/>
        <v>295.048</v>
      </c>
      <c r="AA119" s="190"/>
      <c r="AB119" s="210">
        <v>115.2</v>
      </c>
    </row>
    <row r="120" spans="1:28" ht="12.75">
      <c r="A120" s="165">
        <v>85</v>
      </c>
      <c r="B120" s="48">
        <v>1985</v>
      </c>
      <c r="C120" s="48" t="s">
        <v>129</v>
      </c>
      <c r="D120" s="167" t="s">
        <v>45</v>
      </c>
      <c r="E120" s="166" t="s">
        <v>130</v>
      </c>
      <c r="F120" s="170" t="s">
        <v>39</v>
      </c>
      <c r="G120" s="170">
        <v>8</v>
      </c>
      <c r="H120" s="170">
        <v>5</v>
      </c>
      <c r="I120" s="166">
        <v>1</v>
      </c>
      <c r="J120" s="170">
        <v>4</v>
      </c>
      <c r="K120" s="170"/>
      <c r="L120" s="48">
        <v>60</v>
      </c>
      <c r="M120" s="48">
        <v>142</v>
      </c>
      <c r="N120" s="175">
        <f aca="true" t="shared" si="63" ref="N120:N146">O120+Q120+S120+U120+V120+W120</f>
        <v>3301.8</v>
      </c>
      <c r="O120" s="176">
        <v>2976.4</v>
      </c>
      <c r="P120" s="183">
        <f>1722.3-0.2-0.5+3.5</f>
        <v>1725.1</v>
      </c>
      <c r="Q120" s="190"/>
      <c r="R120" s="172"/>
      <c r="S120" s="172"/>
      <c r="T120" s="172"/>
      <c r="U120" s="172"/>
      <c r="V120" s="172">
        <v>281.1</v>
      </c>
      <c r="W120" s="172">
        <v>44.3</v>
      </c>
      <c r="X120" s="172">
        <f t="shared" si="59"/>
        <v>365.43000000000006</v>
      </c>
      <c r="Y120" s="198">
        <f t="shared" si="62"/>
        <v>263.55800000000005</v>
      </c>
      <c r="Z120" s="198">
        <f t="shared" si="61"/>
        <v>146.17200000000003</v>
      </c>
      <c r="AA120" s="190"/>
      <c r="AB120" s="210">
        <v>57.6</v>
      </c>
    </row>
    <row r="121" spans="1:28" ht="12.75">
      <c r="A121" s="165">
        <v>86</v>
      </c>
      <c r="B121" s="48">
        <v>1986</v>
      </c>
      <c r="C121" s="48" t="s">
        <v>131</v>
      </c>
      <c r="D121" s="167" t="s">
        <v>45</v>
      </c>
      <c r="E121" s="166" t="s">
        <v>132</v>
      </c>
      <c r="F121" s="170" t="s">
        <v>39</v>
      </c>
      <c r="G121" s="170">
        <v>8</v>
      </c>
      <c r="H121" s="170">
        <v>5</v>
      </c>
      <c r="I121" s="166">
        <v>1</v>
      </c>
      <c r="J121" s="170">
        <v>7</v>
      </c>
      <c r="K121" s="170"/>
      <c r="L121" s="48">
        <v>69</v>
      </c>
      <c r="M121" s="48">
        <v>227</v>
      </c>
      <c r="N121" s="175">
        <f t="shared" si="63"/>
        <v>5561.9</v>
      </c>
      <c r="O121" s="176">
        <f>4922.8-0.9-1.2-0.1</f>
        <v>4920.6</v>
      </c>
      <c r="P121" s="183">
        <f>3177.5+3.1</f>
        <v>3180.6</v>
      </c>
      <c r="Q121" s="190"/>
      <c r="R121" s="172"/>
      <c r="S121" s="172">
        <v>78.9</v>
      </c>
      <c r="T121" s="172">
        <v>51.2</v>
      </c>
      <c r="U121" s="172"/>
      <c r="V121" s="172">
        <v>485.2</v>
      </c>
      <c r="W121" s="172">
        <v>77.2</v>
      </c>
      <c r="X121" s="172">
        <f t="shared" si="59"/>
        <v>630.76</v>
      </c>
      <c r="Y121" s="198">
        <f t="shared" si="62"/>
        <v>455.656</v>
      </c>
      <c r="Z121" s="198">
        <f t="shared" si="61"/>
        <v>252.30400000000003</v>
      </c>
      <c r="AA121" s="190"/>
      <c r="AB121" s="210">
        <v>67.2</v>
      </c>
    </row>
    <row r="122" spans="1:28" ht="12.75">
      <c r="A122" s="165">
        <v>87</v>
      </c>
      <c r="B122" s="48">
        <v>1986</v>
      </c>
      <c r="C122" s="48" t="s">
        <v>131</v>
      </c>
      <c r="D122" s="167" t="s">
        <v>45</v>
      </c>
      <c r="E122" s="166" t="s">
        <v>133</v>
      </c>
      <c r="F122" s="170" t="s">
        <v>39</v>
      </c>
      <c r="G122" s="170">
        <v>8</v>
      </c>
      <c r="H122" s="170">
        <v>5</v>
      </c>
      <c r="I122" s="166">
        <v>1</v>
      </c>
      <c r="J122" s="170">
        <v>7</v>
      </c>
      <c r="K122" s="170"/>
      <c r="L122" s="48">
        <v>105</v>
      </c>
      <c r="M122" s="48">
        <v>274</v>
      </c>
      <c r="N122" s="175">
        <f t="shared" si="63"/>
        <v>5770.3</v>
      </c>
      <c r="O122" s="176">
        <v>5200.1</v>
      </c>
      <c r="P122" s="183">
        <f>2981.6-0.7-0.3-0.4-0.2</f>
        <v>2980</v>
      </c>
      <c r="Q122" s="190"/>
      <c r="R122" s="172"/>
      <c r="S122" s="172"/>
      <c r="T122" s="172"/>
      <c r="U122" s="172"/>
      <c r="V122" s="172">
        <v>477.7</v>
      </c>
      <c r="W122" s="172">
        <v>92.5</v>
      </c>
      <c r="X122" s="172">
        <f t="shared" si="59"/>
        <v>621.01</v>
      </c>
      <c r="Y122" s="198">
        <f t="shared" si="62"/>
        <v>465.106</v>
      </c>
      <c r="Z122" s="198">
        <f t="shared" si="61"/>
        <v>248.404</v>
      </c>
      <c r="AA122" s="190"/>
      <c r="AB122" s="210">
        <v>100.8</v>
      </c>
    </row>
    <row r="123" spans="1:28" ht="12.75">
      <c r="A123" s="165">
        <v>88</v>
      </c>
      <c r="B123" s="48">
        <v>1986</v>
      </c>
      <c r="C123" s="48" t="s">
        <v>131</v>
      </c>
      <c r="D123" s="167" t="s">
        <v>45</v>
      </c>
      <c r="E123" s="166">
        <v>84</v>
      </c>
      <c r="F123" s="170" t="s">
        <v>39</v>
      </c>
      <c r="G123" s="170">
        <v>8</v>
      </c>
      <c r="H123" s="170">
        <v>5</v>
      </c>
      <c r="I123" s="166">
        <v>1</v>
      </c>
      <c r="J123" s="170">
        <v>8</v>
      </c>
      <c r="K123" s="170"/>
      <c r="L123" s="48">
        <v>119</v>
      </c>
      <c r="M123" s="48">
        <v>337</v>
      </c>
      <c r="N123" s="175">
        <f t="shared" si="63"/>
        <v>6600.2</v>
      </c>
      <c r="O123" s="176">
        <v>5892.6</v>
      </c>
      <c r="P123" s="183">
        <f>3402.6-0.3-0.4</f>
        <v>3401.8999999999996</v>
      </c>
      <c r="Q123" s="190"/>
      <c r="R123" s="172"/>
      <c r="S123" s="172">
        <v>51.5</v>
      </c>
      <c r="T123" s="172">
        <v>29.1</v>
      </c>
      <c r="U123" s="172"/>
      <c r="V123" s="172">
        <v>567.4</v>
      </c>
      <c r="W123" s="172">
        <v>88.7</v>
      </c>
      <c r="X123" s="172">
        <f t="shared" si="59"/>
        <v>737.62</v>
      </c>
      <c r="Y123" s="198">
        <f t="shared" si="62"/>
        <v>531.272</v>
      </c>
      <c r="Z123" s="198">
        <f t="shared" si="61"/>
        <v>295.048</v>
      </c>
      <c r="AA123" s="190"/>
      <c r="AB123" s="210">
        <v>115.2</v>
      </c>
    </row>
    <row r="124" spans="1:28" ht="12.75">
      <c r="A124" s="165">
        <v>89</v>
      </c>
      <c r="B124" s="48">
        <v>1986</v>
      </c>
      <c r="C124" s="48" t="s">
        <v>134</v>
      </c>
      <c r="D124" s="167" t="s">
        <v>45</v>
      </c>
      <c r="E124" s="166" t="s">
        <v>135</v>
      </c>
      <c r="F124" s="170" t="s">
        <v>39</v>
      </c>
      <c r="G124" s="170">
        <v>8</v>
      </c>
      <c r="H124" s="170">
        <v>5</v>
      </c>
      <c r="I124" s="166">
        <v>1</v>
      </c>
      <c r="J124" s="170">
        <v>4</v>
      </c>
      <c r="K124" s="170"/>
      <c r="L124" s="48">
        <v>59</v>
      </c>
      <c r="M124" s="48">
        <f>150+67+283</f>
        <v>500</v>
      </c>
      <c r="N124" s="175">
        <f t="shared" si="63"/>
        <v>3272.7</v>
      </c>
      <c r="O124" s="176">
        <v>2945.2</v>
      </c>
      <c r="P124" s="183">
        <f>1707.1-0.4</f>
        <v>1706.6999999999998</v>
      </c>
      <c r="Q124" s="190"/>
      <c r="R124" s="172"/>
      <c r="S124" s="172"/>
      <c r="T124" s="172"/>
      <c r="U124" s="172"/>
      <c r="V124" s="172">
        <v>283.3</v>
      </c>
      <c r="W124" s="172">
        <v>44.2</v>
      </c>
      <c r="X124" s="172">
        <f t="shared" si="59"/>
        <v>368.29</v>
      </c>
      <c r="Y124" s="198">
        <f t="shared" si="62"/>
        <v>265.174</v>
      </c>
      <c r="Z124" s="198">
        <f t="shared" si="61"/>
        <v>147.31600000000003</v>
      </c>
      <c r="AA124" s="190"/>
      <c r="AB124" s="210">
        <v>57.6</v>
      </c>
    </row>
    <row r="125" spans="1:28" ht="12.75">
      <c r="A125" s="165">
        <v>90</v>
      </c>
      <c r="B125" s="48">
        <v>1986</v>
      </c>
      <c r="C125" s="48" t="s">
        <v>131</v>
      </c>
      <c r="D125" s="167" t="s">
        <v>45</v>
      </c>
      <c r="E125" s="166" t="s">
        <v>136</v>
      </c>
      <c r="F125" s="170" t="s">
        <v>39</v>
      </c>
      <c r="G125" s="170">
        <v>8</v>
      </c>
      <c r="H125" s="170">
        <v>5</v>
      </c>
      <c r="I125" s="166">
        <v>1</v>
      </c>
      <c r="J125" s="170">
        <v>5</v>
      </c>
      <c r="K125" s="170"/>
      <c r="L125" s="48">
        <v>75</v>
      </c>
      <c r="M125" s="48">
        <v>202</v>
      </c>
      <c r="N125" s="175">
        <f t="shared" si="63"/>
        <v>4122</v>
      </c>
      <c r="O125" s="176">
        <v>3727.2</v>
      </c>
      <c r="P125" s="183">
        <v>2141.4</v>
      </c>
      <c r="Q125" s="190"/>
      <c r="R125" s="172"/>
      <c r="S125" s="172"/>
      <c r="T125" s="172"/>
      <c r="U125" s="172"/>
      <c r="V125" s="172">
        <v>347.4</v>
      </c>
      <c r="W125" s="172">
        <v>47.4</v>
      </c>
      <c r="X125" s="172">
        <f t="shared" si="59"/>
        <v>451.62</v>
      </c>
      <c r="Y125" s="198">
        <f t="shared" si="62"/>
        <v>318.37199999999996</v>
      </c>
      <c r="Z125" s="198">
        <f t="shared" si="61"/>
        <v>180.64800000000002</v>
      </c>
      <c r="AA125" s="190"/>
      <c r="AB125" s="210">
        <v>72</v>
      </c>
    </row>
    <row r="126" spans="1:28" ht="12.75">
      <c r="A126" s="165">
        <v>91</v>
      </c>
      <c r="B126" s="48">
        <v>1986</v>
      </c>
      <c r="C126" s="48" t="s">
        <v>134</v>
      </c>
      <c r="D126" s="167" t="s">
        <v>45</v>
      </c>
      <c r="E126" s="166" t="s">
        <v>137</v>
      </c>
      <c r="F126" s="170" t="s">
        <v>39</v>
      </c>
      <c r="G126" s="170">
        <v>8</v>
      </c>
      <c r="H126" s="170">
        <v>5</v>
      </c>
      <c r="I126" s="166">
        <v>1</v>
      </c>
      <c r="J126" s="170">
        <v>6</v>
      </c>
      <c r="K126" s="170"/>
      <c r="L126" s="48">
        <v>59</v>
      </c>
      <c r="M126" s="48">
        <v>225</v>
      </c>
      <c r="N126" s="175">
        <f t="shared" si="63"/>
        <v>4762.900000000001</v>
      </c>
      <c r="O126" s="176">
        <v>4119.6</v>
      </c>
      <c r="P126" s="183">
        <f>2715.9-0.8-7.5-52.6</f>
        <v>2655</v>
      </c>
      <c r="Q126" s="190">
        <v>80.3</v>
      </c>
      <c r="R126" s="172">
        <v>52.6</v>
      </c>
      <c r="S126" s="172">
        <v>80</v>
      </c>
      <c r="T126" s="172">
        <v>51.8</v>
      </c>
      <c r="U126" s="172"/>
      <c r="V126" s="172">
        <v>419.7</v>
      </c>
      <c r="W126" s="172">
        <v>63.3</v>
      </c>
      <c r="X126" s="172">
        <f t="shared" si="59"/>
        <v>545.61</v>
      </c>
      <c r="Y126" s="198">
        <f t="shared" si="62"/>
        <v>390.666</v>
      </c>
      <c r="Z126" s="198">
        <f t="shared" si="61"/>
        <v>218.24399999999997</v>
      </c>
      <c r="AA126" s="190"/>
      <c r="AB126" s="210">
        <v>57.6</v>
      </c>
    </row>
    <row r="127" spans="1:28" ht="12.75">
      <c r="A127" s="165">
        <v>92</v>
      </c>
      <c r="B127" s="48">
        <v>1986</v>
      </c>
      <c r="C127" s="48" t="s">
        <v>50</v>
      </c>
      <c r="D127" s="167" t="s">
        <v>45</v>
      </c>
      <c r="E127" s="166">
        <v>86</v>
      </c>
      <c r="F127" s="170" t="s">
        <v>39</v>
      </c>
      <c r="G127" s="170">
        <v>8</v>
      </c>
      <c r="H127" s="170">
        <v>5</v>
      </c>
      <c r="I127" s="166">
        <v>1</v>
      </c>
      <c r="J127" s="170">
        <v>8</v>
      </c>
      <c r="K127" s="170"/>
      <c r="L127" s="48">
        <v>120</v>
      </c>
      <c r="M127" s="48">
        <v>323</v>
      </c>
      <c r="N127" s="175">
        <f t="shared" si="63"/>
        <v>6610.21</v>
      </c>
      <c r="O127" s="176">
        <v>5940.5</v>
      </c>
      <c r="P127" s="183">
        <f>3418.8+0-0.3-0.4-0.3</f>
        <v>3417.7999999999997</v>
      </c>
      <c r="Q127" s="190"/>
      <c r="R127" s="172"/>
      <c r="S127" s="172"/>
      <c r="T127" s="172"/>
      <c r="U127" s="172"/>
      <c r="V127" s="172">
        <v>564.21</v>
      </c>
      <c r="W127" s="172">
        <v>105.5</v>
      </c>
      <c r="X127" s="172">
        <f t="shared" si="59"/>
        <v>733.4730000000001</v>
      </c>
      <c r="Y127" s="198">
        <f t="shared" si="62"/>
        <v>545.5838</v>
      </c>
      <c r="Z127" s="198">
        <f t="shared" si="61"/>
        <v>293.3892000000001</v>
      </c>
      <c r="AA127" s="190"/>
      <c r="AB127" s="210">
        <v>115.2</v>
      </c>
    </row>
    <row r="128" spans="1:28" ht="12.75">
      <c r="A128" s="165">
        <v>93</v>
      </c>
      <c r="B128" s="48">
        <v>1986</v>
      </c>
      <c r="C128" s="48" t="s">
        <v>138</v>
      </c>
      <c r="D128" s="167" t="s">
        <v>92</v>
      </c>
      <c r="E128" s="166">
        <v>36</v>
      </c>
      <c r="F128" s="170" t="s">
        <v>39</v>
      </c>
      <c r="G128" s="170">
        <v>8</v>
      </c>
      <c r="H128" s="170">
        <v>5</v>
      </c>
      <c r="I128" s="166">
        <v>1</v>
      </c>
      <c r="J128" s="170">
        <v>8</v>
      </c>
      <c r="K128" s="170"/>
      <c r="L128" s="48">
        <v>80</v>
      </c>
      <c r="M128" s="48">
        <v>277</v>
      </c>
      <c r="N128" s="175">
        <f t="shared" si="63"/>
        <v>6357.400000000001</v>
      </c>
      <c r="O128" s="185">
        <v>5650.3</v>
      </c>
      <c r="P128" s="189">
        <f>3654.5-0.4+0.5-1.6-0.5+0.6-0.2-0.3-0.4</f>
        <v>3652.2</v>
      </c>
      <c r="Q128" s="190"/>
      <c r="R128" s="172"/>
      <c r="S128" s="172">
        <v>55.6</v>
      </c>
      <c r="T128" s="172">
        <v>30.9</v>
      </c>
      <c r="U128" s="172"/>
      <c r="V128" s="172">
        <v>563.1</v>
      </c>
      <c r="W128" s="172">
        <v>88.4</v>
      </c>
      <c r="X128" s="172">
        <f t="shared" si="59"/>
        <v>732.0300000000001</v>
      </c>
      <c r="Y128" s="198">
        <f t="shared" si="62"/>
        <v>527.618</v>
      </c>
      <c r="Z128" s="198">
        <f t="shared" si="61"/>
        <v>292.812</v>
      </c>
      <c r="AA128" s="190"/>
      <c r="AB128" s="210">
        <v>76.8</v>
      </c>
    </row>
    <row r="129" spans="1:28" ht="12.75">
      <c r="A129" s="165">
        <v>94</v>
      </c>
      <c r="B129" s="48">
        <v>1986</v>
      </c>
      <c r="C129" s="48" t="s">
        <v>138</v>
      </c>
      <c r="D129" s="167" t="s">
        <v>92</v>
      </c>
      <c r="E129" s="166" t="s">
        <v>139</v>
      </c>
      <c r="F129" s="170" t="s">
        <v>39</v>
      </c>
      <c r="G129" s="170">
        <v>8</v>
      </c>
      <c r="H129" s="170">
        <v>5</v>
      </c>
      <c r="I129" s="166">
        <v>1</v>
      </c>
      <c r="J129" s="170">
        <v>3</v>
      </c>
      <c r="K129" s="170"/>
      <c r="L129" s="48">
        <v>45</v>
      </c>
      <c r="M129" s="48">
        <v>123</v>
      </c>
      <c r="N129" s="175">
        <f t="shared" si="63"/>
        <v>2347.1</v>
      </c>
      <c r="O129" s="185">
        <v>2230</v>
      </c>
      <c r="P129" s="183">
        <v>1281</v>
      </c>
      <c r="Q129" s="190"/>
      <c r="R129" s="172"/>
      <c r="S129" s="172"/>
      <c r="T129" s="172"/>
      <c r="U129" s="172"/>
      <c r="V129" s="172">
        <v>83.9</v>
      </c>
      <c r="W129" s="172">
        <v>33.2</v>
      </c>
      <c r="X129" s="172">
        <f t="shared" si="59"/>
        <v>109.07000000000001</v>
      </c>
      <c r="Y129" s="198">
        <f t="shared" si="62"/>
        <v>98.64200000000001</v>
      </c>
      <c r="Z129" s="198">
        <f t="shared" si="61"/>
        <v>43.628</v>
      </c>
      <c r="AA129" s="190"/>
      <c r="AB129" s="210">
        <v>43.2</v>
      </c>
    </row>
    <row r="130" spans="1:28" ht="12.75">
      <c r="A130" s="165">
        <v>95</v>
      </c>
      <c r="B130" s="48">
        <v>1987</v>
      </c>
      <c r="C130" s="48" t="s">
        <v>140</v>
      </c>
      <c r="D130" s="167" t="s">
        <v>92</v>
      </c>
      <c r="E130" s="166" t="s">
        <v>141</v>
      </c>
      <c r="F130" s="170" t="s">
        <v>39</v>
      </c>
      <c r="G130" s="170">
        <v>8</v>
      </c>
      <c r="H130" s="170">
        <v>5</v>
      </c>
      <c r="I130" s="166">
        <v>1</v>
      </c>
      <c r="J130" s="170">
        <v>5</v>
      </c>
      <c r="K130" s="170"/>
      <c r="L130" s="48">
        <v>75</v>
      </c>
      <c r="M130" s="48">
        <v>220</v>
      </c>
      <c r="N130" s="175">
        <f t="shared" si="63"/>
        <v>4067.4</v>
      </c>
      <c r="O130" s="178">
        <v>3657.9</v>
      </c>
      <c r="P130" s="219">
        <f>2108.4+0.1+0.2-11.3+1.3</f>
        <v>2098.7</v>
      </c>
      <c r="Q130" s="190"/>
      <c r="R130" s="172"/>
      <c r="S130" s="172"/>
      <c r="T130" s="172"/>
      <c r="U130" s="172"/>
      <c r="V130" s="172">
        <v>355</v>
      </c>
      <c r="W130" s="172">
        <v>54.5</v>
      </c>
      <c r="X130" s="172">
        <f t="shared" si="59"/>
        <v>461.5</v>
      </c>
      <c r="Y130" s="198">
        <f t="shared" si="62"/>
        <v>331.4</v>
      </c>
      <c r="Z130" s="198">
        <f t="shared" si="61"/>
        <v>184.60000000000002</v>
      </c>
      <c r="AA130" s="190"/>
      <c r="AB130" s="210">
        <v>72</v>
      </c>
    </row>
    <row r="131" spans="1:28" ht="12.75">
      <c r="A131" s="165">
        <v>96</v>
      </c>
      <c r="B131" s="48">
        <v>1987</v>
      </c>
      <c r="C131" s="48" t="s">
        <v>140</v>
      </c>
      <c r="D131" s="167" t="s">
        <v>92</v>
      </c>
      <c r="E131" s="166">
        <v>38</v>
      </c>
      <c r="F131" s="170" t="s">
        <v>39</v>
      </c>
      <c r="G131" s="170">
        <v>8</v>
      </c>
      <c r="H131" s="170">
        <v>5</v>
      </c>
      <c r="I131" s="166">
        <v>1</v>
      </c>
      <c r="J131" s="170">
        <v>4</v>
      </c>
      <c r="K131" s="170"/>
      <c r="L131" s="48">
        <v>39</v>
      </c>
      <c r="M131" s="48">
        <v>164</v>
      </c>
      <c r="N131" s="175">
        <f t="shared" si="63"/>
        <v>3153.5000000000005</v>
      </c>
      <c r="O131" s="176">
        <v>2766.3</v>
      </c>
      <c r="P131" s="183">
        <f>1787.1+0</f>
        <v>1787.1</v>
      </c>
      <c r="Q131" s="190"/>
      <c r="R131" s="172"/>
      <c r="S131" s="172"/>
      <c r="T131" s="172"/>
      <c r="U131" s="172">
        <v>59.8</v>
      </c>
      <c r="V131" s="172">
        <v>283</v>
      </c>
      <c r="W131" s="172">
        <v>44.4</v>
      </c>
      <c r="X131" s="172">
        <f t="shared" si="59"/>
        <v>367.90000000000003</v>
      </c>
      <c r="Y131" s="198">
        <f t="shared" si="62"/>
        <v>265.14000000000004</v>
      </c>
      <c r="Z131" s="198">
        <f t="shared" si="61"/>
        <v>147.15999999999997</v>
      </c>
      <c r="AA131" s="190"/>
      <c r="AB131" s="210">
        <v>38.4</v>
      </c>
    </row>
    <row r="132" spans="1:28" ht="12.75">
      <c r="A132" s="165">
        <v>97</v>
      </c>
      <c r="B132" s="48">
        <v>1986</v>
      </c>
      <c r="C132" s="48" t="s">
        <v>50</v>
      </c>
      <c r="D132" s="167" t="s">
        <v>92</v>
      </c>
      <c r="E132" s="166" t="s">
        <v>142</v>
      </c>
      <c r="F132" s="170" t="s">
        <v>39</v>
      </c>
      <c r="G132" s="170">
        <v>8</v>
      </c>
      <c r="H132" s="170">
        <v>5</v>
      </c>
      <c r="I132" s="166">
        <v>1</v>
      </c>
      <c r="J132" s="170">
        <v>7</v>
      </c>
      <c r="K132" s="170"/>
      <c r="L132" s="48">
        <v>95</v>
      </c>
      <c r="M132" s="48">
        <v>255</v>
      </c>
      <c r="N132" s="175">
        <f t="shared" si="63"/>
        <v>5744.600000000001</v>
      </c>
      <c r="O132" s="176">
        <v>4681.1</v>
      </c>
      <c r="P132" s="177">
        <f>2738.06-40+0.2-0.8-0.3-3.7</f>
        <v>2693.4599999999996</v>
      </c>
      <c r="Q132" s="190"/>
      <c r="R132" s="172"/>
      <c r="S132" s="199">
        <v>65</v>
      </c>
      <c r="T132" s="199">
        <v>40</v>
      </c>
      <c r="U132" s="172">
        <v>410.6</v>
      </c>
      <c r="V132" s="172">
        <v>495.1</v>
      </c>
      <c r="W132" s="172">
        <v>92.8</v>
      </c>
      <c r="X132" s="172">
        <f t="shared" si="59"/>
        <v>643.63</v>
      </c>
      <c r="Y132" s="198">
        <f t="shared" si="62"/>
        <v>478.978</v>
      </c>
      <c r="Z132" s="198">
        <f t="shared" si="61"/>
        <v>257.45199999999994</v>
      </c>
      <c r="AA132" s="190"/>
      <c r="AB132" s="210">
        <v>100.8</v>
      </c>
    </row>
    <row r="133" spans="1:28" ht="12.75">
      <c r="A133" s="165">
        <v>98</v>
      </c>
      <c r="B133" s="48">
        <v>1987</v>
      </c>
      <c r="C133" s="48" t="s">
        <v>50</v>
      </c>
      <c r="D133" s="167" t="s">
        <v>92</v>
      </c>
      <c r="E133" s="166" t="s">
        <v>143</v>
      </c>
      <c r="F133" s="170" t="s">
        <v>39</v>
      </c>
      <c r="G133" s="170">
        <v>8</v>
      </c>
      <c r="H133" s="170">
        <v>5</v>
      </c>
      <c r="I133" s="166">
        <v>1</v>
      </c>
      <c r="J133" s="170">
        <v>4</v>
      </c>
      <c r="K133" s="170"/>
      <c r="L133" s="48">
        <v>60</v>
      </c>
      <c r="M133" s="48">
        <v>160</v>
      </c>
      <c r="N133" s="175">
        <f t="shared" si="63"/>
        <v>3294.2</v>
      </c>
      <c r="O133" s="185">
        <v>2969</v>
      </c>
      <c r="P133" s="189">
        <f>1714.1+0-0.1-0.6</f>
        <v>1713.4</v>
      </c>
      <c r="Q133" s="190"/>
      <c r="R133" s="172"/>
      <c r="S133" s="172"/>
      <c r="T133" s="172"/>
      <c r="U133" s="172"/>
      <c r="V133" s="172">
        <v>280.6</v>
      </c>
      <c r="W133" s="172">
        <v>44.6</v>
      </c>
      <c r="X133" s="172">
        <f t="shared" si="59"/>
        <v>364.78000000000003</v>
      </c>
      <c r="Y133" s="198">
        <f t="shared" si="62"/>
        <v>263.468</v>
      </c>
      <c r="Z133" s="198">
        <f t="shared" si="61"/>
        <v>145.91200000000003</v>
      </c>
      <c r="AA133" s="190"/>
      <c r="AB133" s="210">
        <v>57.6</v>
      </c>
    </row>
    <row r="134" spans="1:28" ht="12.75">
      <c r="A134" s="165">
        <v>99</v>
      </c>
      <c r="B134" s="48">
        <v>1987</v>
      </c>
      <c r="C134" s="48" t="s">
        <v>144</v>
      </c>
      <c r="D134" s="167" t="s">
        <v>92</v>
      </c>
      <c r="E134" s="166" t="s">
        <v>145</v>
      </c>
      <c r="F134" s="170" t="s">
        <v>39</v>
      </c>
      <c r="G134" s="170">
        <v>8</v>
      </c>
      <c r="H134" s="170">
        <v>5</v>
      </c>
      <c r="I134" s="166">
        <v>1</v>
      </c>
      <c r="J134" s="170">
        <v>7</v>
      </c>
      <c r="K134" s="170"/>
      <c r="L134" s="48">
        <v>105</v>
      </c>
      <c r="M134" s="48">
        <v>246</v>
      </c>
      <c r="N134" s="175">
        <f t="shared" si="63"/>
        <v>5764.4</v>
      </c>
      <c r="O134" s="185">
        <v>5193</v>
      </c>
      <c r="P134" s="189">
        <f>2980.3-0.2-0.1</f>
        <v>2980.0000000000005</v>
      </c>
      <c r="Q134" s="190"/>
      <c r="R134" s="172"/>
      <c r="S134" s="172"/>
      <c r="T134" s="172"/>
      <c r="U134" s="172"/>
      <c r="V134" s="172">
        <v>492.7</v>
      </c>
      <c r="W134" s="172">
        <v>78.7</v>
      </c>
      <c r="X134" s="172">
        <f t="shared" si="59"/>
        <v>640.51</v>
      </c>
      <c r="Y134" s="198">
        <f t="shared" si="62"/>
        <v>463.00600000000003</v>
      </c>
      <c r="Z134" s="198">
        <f t="shared" si="61"/>
        <v>256.204</v>
      </c>
      <c r="AA134" s="190"/>
      <c r="AB134" s="210">
        <v>100.8</v>
      </c>
    </row>
    <row r="135" spans="1:28" ht="12.75">
      <c r="A135" s="165">
        <v>100</v>
      </c>
      <c r="B135" s="48">
        <v>1987</v>
      </c>
      <c r="C135" s="48" t="s">
        <v>140</v>
      </c>
      <c r="D135" s="167" t="s">
        <v>92</v>
      </c>
      <c r="E135" s="166" t="s">
        <v>146</v>
      </c>
      <c r="F135" s="170" t="s">
        <v>39</v>
      </c>
      <c r="G135" s="170">
        <v>8</v>
      </c>
      <c r="H135" s="170">
        <v>5</v>
      </c>
      <c r="I135" s="166">
        <v>1</v>
      </c>
      <c r="J135" s="170">
        <v>5</v>
      </c>
      <c r="K135" s="170"/>
      <c r="L135" s="48">
        <v>49</v>
      </c>
      <c r="M135" s="48">
        <v>184</v>
      </c>
      <c r="N135" s="175">
        <f t="shared" si="63"/>
        <v>3916.2</v>
      </c>
      <c r="O135" s="185">
        <v>3460.2</v>
      </c>
      <c r="P135" s="183">
        <f>2212.7-0.1-30.5-3.8</f>
        <v>2178.2999999999997</v>
      </c>
      <c r="Q135" s="190"/>
      <c r="R135" s="172"/>
      <c r="S135" s="172">
        <v>52.4</v>
      </c>
      <c r="T135" s="172">
        <v>30.5</v>
      </c>
      <c r="U135" s="172"/>
      <c r="V135" s="172">
        <v>348.5</v>
      </c>
      <c r="W135" s="172">
        <v>55.1</v>
      </c>
      <c r="X135" s="172">
        <f t="shared" si="59"/>
        <v>453.05</v>
      </c>
      <c r="Y135" s="198">
        <f t="shared" si="62"/>
        <v>326.93</v>
      </c>
      <c r="Z135" s="198">
        <f t="shared" si="61"/>
        <v>181.22000000000003</v>
      </c>
      <c r="AA135" s="190"/>
      <c r="AB135" s="210">
        <v>48</v>
      </c>
    </row>
    <row r="136" spans="1:28" ht="12.75">
      <c r="A136" s="165">
        <v>101</v>
      </c>
      <c r="B136" s="48">
        <v>1987</v>
      </c>
      <c r="C136" s="48" t="s">
        <v>140</v>
      </c>
      <c r="D136" s="167" t="s">
        <v>92</v>
      </c>
      <c r="E136" s="166" t="s">
        <v>147</v>
      </c>
      <c r="F136" s="170" t="s">
        <v>39</v>
      </c>
      <c r="G136" s="170">
        <v>8</v>
      </c>
      <c r="H136" s="170">
        <v>5</v>
      </c>
      <c r="I136" s="166">
        <v>1</v>
      </c>
      <c r="J136" s="170">
        <v>7</v>
      </c>
      <c r="K136" s="170"/>
      <c r="L136" s="48">
        <v>105</v>
      </c>
      <c r="M136" s="48">
        <v>285</v>
      </c>
      <c r="N136" s="175">
        <f t="shared" si="63"/>
        <v>5754.4</v>
      </c>
      <c r="O136" s="176">
        <v>5170.6</v>
      </c>
      <c r="P136" s="189">
        <f>2979.5-0.5-0.7-0.2-0.1</f>
        <v>2978.0000000000005</v>
      </c>
      <c r="Q136" s="190"/>
      <c r="R136" s="172"/>
      <c r="S136" s="172"/>
      <c r="T136" s="172"/>
      <c r="U136" s="172"/>
      <c r="V136" s="172">
        <v>493.4</v>
      </c>
      <c r="W136" s="172">
        <v>90.4</v>
      </c>
      <c r="X136" s="172">
        <f t="shared" si="59"/>
        <v>641.42</v>
      </c>
      <c r="Y136" s="198">
        <f t="shared" si="62"/>
        <v>475.25199999999995</v>
      </c>
      <c r="Z136" s="198">
        <f t="shared" si="61"/>
        <v>256.568</v>
      </c>
      <c r="AA136" s="190"/>
      <c r="AB136" s="210">
        <v>100.8</v>
      </c>
    </row>
    <row r="137" spans="1:28" ht="12.75">
      <c r="A137" s="165">
        <v>102</v>
      </c>
      <c r="B137" s="48">
        <v>1987</v>
      </c>
      <c r="C137" s="48" t="s">
        <v>140</v>
      </c>
      <c r="D137" s="167" t="s">
        <v>92</v>
      </c>
      <c r="E137" s="166" t="s">
        <v>148</v>
      </c>
      <c r="F137" s="170" t="s">
        <v>39</v>
      </c>
      <c r="G137" s="170">
        <v>8</v>
      </c>
      <c r="H137" s="170">
        <v>5</v>
      </c>
      <c r="I137" s="166">
        <v>1</v>
      </c>
      <c r="J137" s="170">
        <v>3</v>
      </c>
      <c r="K137" s="170"/>
      <c r="L137" s="48">
        <v>45</v>
      </c>
      <c r="M137" s="48">
        <v>125</v>
      </c>
      <c r="N137" s="175">
        <f t="shared" si="63"/>
        <v>2469.3</v>
      </c>
      <c r="O137" s="176">
        <v>2225.3</v>
      </c>
      <c r="P137" s="183">
        <v>1281.6</v>
      </c>
      <c r="Q137" s="190"/>
      <c r="R137" s="172"/>
      <c r="S137" s="172"/>
      <c r="T137" s="172"/>
      <c r="U137" s="172"/>
      <c r="V137" s="172">
        <v>210.7</v>
      </c>
      <c r="W137" s="172">
        <v>33.3</v>
      </c>
      <c r="X137" s="172">
        <f t="shared" si="59"/>
        <v>273.90999999999997</v>
      </c>
      <c r="Y137" s="198">
        <f t="shared" si="62"/>
        <v>197.64600000000002</v>
      </c>
      <c r="Z137" s="198">
        <f t="shared" si="61"/>
        <v>109.56399999999996</v>
      </c>
      <c r="AA137" s="190"/>
      <c r="AB137" s="210">
        <v>43.2</v>
      </c>
    </row>
    <row r="138" spans="1:28" s="1" customFormat="1" ht="12.75">
      <c r="A138" s="165">
        <v>103</v>
      </c>
      <c r="B138" s="48">
        <v>1987</v>
      </c>
      <c r="C138" s="48" t="s">
        <v>140</v>
      </c>
      <c r="D138" s="167" t="s">
        <v>149</v>
      </c>
      <c r="E138" s="166">
        <v>3</v>
      </c>
      <c r="F138" s="170" t="s">
        <v>39</v>
      </c>
      <c r="G138" s="170">
        <v>8</v>
      </c>
      <c r="H138" s="170">
        <v>5</v>
      </c>
      <c r="I138" s="166">
        <v>1</v>
      </c>
      <c r="J138" s="170">
        <v>6</v>
      </c>
      <c r="K138" s="170"/>
      <c r="L138" s="48">
        <f>90-1-1</f>
        <v>88</v>
      </c>
      <c r="M138" s="48">
        <v>230</v>
      </c>
      <c r="N138" s="175">
        <f t="shared" si="63"/>
        <v>5014.400000000001</v>
      </c>
      <c r="O138" s="176">
        <v>4402.6</v>
      </c>
      <c r="P138" s="189">
        <f>2589.7-2.4-17.7-29.2</f>
        <v>2540.4</v>
      </c>
      <c r="Q138" s="190"/>
      <c r="R138" s="172"/>
      <c r="S138" s="172">
        <v>86.8</v>
      </c>
      <c r="T138" s="172">
        <f>17.7+29.2</f>
        <v>46.9</v>
      </c>
      <c r="U138" s="172"/>
      <c r="V138" s="172">
        <v>427.1</v>
      </c>
      <c r="W138" s="172">
        <v>97.9</v>
      </c>
      <c r="X138" s="172">
        <f t="shared" si="59"/>
        <v>555.23</v>
      </c>
      <c r="Y138" s="198">
        <f t="shared" si="62"/>
        <v>431.038</v>
      </c>
      <c r="Z138" s="198">
        <f t="shared" si="61"/>
        <v>222.09199999999998</v>
      </c>
      <c r="AA138" s="190"/>
      <c r="AB138" s="210">
        <v>86.4</v>
      </c>
    </row>
    <row r="139" spans="1:28" ht="12.75">
      <c r="A139" s="165">
        <v>10</v>
      </c>
      <c r="B139" s="48">
        <v>1987</v>
      </c>
      <c r="C139" s="48" t="s">
        <v>144</v>
      </c>
      <c r="D139" s="167" t="s">
        <v>149</v>
      </c>
      <c r="E139" s="166">
        <v>7</v>
      </c>
      <c r="F139" s="170" t="s">
        <v>39</v>
      </c>
      <c r="G139" s="170">
        <v>8</v>
      </c>
      <c r="H139" s="170">
        <v>5</v>
      </c>
      <c r="I139" s="166">
        <v>1</v>
      </c>
      <c r="J139" s="170">
        <v>9</v>
      </c>
      <c r="K139" s="170"/>
      <c r="L139" s="48">
        <v>135</v>
      </c>
      <c r="M139" s="48">
        <v>333</v>
      </c>
      <c r="N139" s="175">
        <f t="shared" si="63"/>
        <v>7354.4</v>
      </c>
      <c r="O139" s="176">
        <v>6610.8</v>
      </c>
      <c r="P139" s="189">
        <f>3795.7-0.1+0.9</f>
        <v>3796.5</v>
      </c>
      <c r="Q139" s="190"/>
      <c r="R139" s="172"/>
      <c r="S139" s="172"/>
      <c r="T139" s="172"/>
      <c r="U139" s="172"/>
      <c r="V139" s="172">
        <v>634.7</v>
      </c>
      <c r="W139" s="172">
        <v>108.9</v>
      </c>
      <c r="X139" s="172">
        <f t="shared" si="59"/>
        <v>825.1100000000001</v>
      </c>
      <c r="Y139" s="198">
        <f t="shared" si="62"/>
        <v>603.966</v>
      </c>
      <c r="Z139" s="198">
        <f t="shared" si="61"/>
        <v>330.0440000000001</v>
      </c>
      <c r="AA139" s="190"/>
      <c r="AB139" s="210">
        <v>129.6</v>
      </c>
    </row>
    <row r="140" spans="1:28" ht="12.75">
      <c r="A140" s="165">
        <v>105</v>
      </c>
      <c r="B140" s="48">
        <v>1987</v>
      </c>
      <c r="C140" s="48" t="s">
        <v>144</v>
      </c>
      <c r="D140" s="167" t="s">
        <v>149</v>
      </c>
      <c r="E140" s="166" t="s">
        <v>150</v>
      </c>
      <c r="F140" s="170" t="s">
        <v>39</v>
      </c>
      <c r="G140" s="170">
        <v>8</v>
      </c>
      <c r="H140" s="170">
        <v>5</v>
      </c>
      <c r="I140" s="166">
        <v>1</v>
      </c>
      <c r="J140" s="170">
        <v>4</v>
      </c>
      <c r="K140" s="170"/>
      <c r="L140" s="48">
        <v>60</v>
      </c>
      <c r="M140" s="48">
        <v>126</v>
      </c>
      <c r="N140" s="175">
        <f t="shared" si="63"/>
        <v>3198.7999999999997</v>
      </c>
      <c r="O140" s="176">
        <f>2931+0.1-0.4+0.2</f>
        <v>2930.8999999999996</v>
      </c>
      <c r="P140" s="189">
        <f>1697.5+0.2-0.2+0.2</f>
        <v>1697.7</v>
      </c>
      <c r="Q140" s="190"/>
      <c r="R140" s="172"/>
      <c r="S140" s="172"/>
      <c r="T140" s="172"/>
      <c r="U140" s="172"/>
      <c r="V140" s="172">
        <v>224</v>
      </c>
      <c r="W140" s="172">
        <v>43.9</v>
      </c>
      <c r="X140" s="172">
        <f t="shared" si="59"/>
        <v>291.2</v>
      </c>
      <c r="Y140" s="198">
        <f t="shared" si="62"/>
        <v>218.61999999999998</v>
      </c>
      <c r="Z140" s="198">
        <f t="shared" si="61"/>
        <v>116.47999999999999</v>
      </c>
      <c r="AA140" s="190"/>
      <c r="AB140" s="210">
        <v>57.6</v>
      </c>
    </row>
    <row r="141" spans="1:28" ht="12.75">
      <c r="A141" s="165">
        <v>106</v>
      </c>
      <c r="B141" s="48">
        <v>1987</v>
      </c>
      <c r="C141" s="48" t="s">
        <v>144</v>
      </c>
      <c r="D141" s="167" t="s">
        <v>149</v>
      </c>
      <c r="E141" s="166" t="s">
        <v>151</v>
      </c>
      <c r="F141" s="170" t="s">
        <v>39</v>
      </c>
      <c r="G141" s="170">
        <v>8</v>
      </c>
      <c r="H141" s="170">
        <v>5</v>
      </c>
      <c r="I141" s="166">
        <v>1</v>
      </c>
      <c r="J141" s="170">
        <v>5</v>
      </c>
      <c r="K141" s="170"/>
      <c r="L141" s="48">
        <v>75</v>
      </c>
      <c r="M141" s="48">
        <v>199</v>
      </c>
      <c r="N141" s="175">
        <f t="shared" si="63"/>
        <v>4074</v>
      </c>
      <c r="O141" s="176">
        <v>3673</v>
      </c>
      <c r="P141" s="189">
        <f>2116.7-0.1+0.5-0.1+0.2</f>
        <v>2117.2</v>
      </c>
      <c r="Q141" s="190"/>
      <c r="R141" s="172"/>
      <c r="S141" s="172"/>
      <c r="T141" s="172"/>
      <c r="U141" s="172"/>
      <c r="V141" s="172">
        <v>346</v>
      </c>
      <c r="W141" s="172">
        <v>55</v>
      </c>
      <c r="X141" s="172">
        <f t="shared" si="59"/>
        <v>449.8</v>
      </c>
      <c r="Y141" s="198">
        <f t="shared" si="62"/>
        <v>324.88</v>
      </c>
      <c r="Z141" s="198">
        <f t="shared" si="61"/>
        <v>179.92000000000002</v>
      </c>
      <c r="AA141" s="190"/>
      <c r="AB141" s="210">
        <v>72</v>
      </c>
    </row>
    <row r="142" spans="1:28" ht="12.75">
      <c r="A142" s="165">
        <v>107</v>
      </c>
      <c r="B142" s="48">
        <v>1987</v>
      </c>
      <c r="C142" s="48" t="s">
        <v>144</v>
      </c>
      <c r="D142" s="167" t="s">
        <v>149</v>
      </c>
      <c r="E142" s="166" t="s">
        <v>152</v>
      </c>
      <c r="F142" s="170" t="s">
        <v>39</v>
      </c>
      <c r="G142" s="170">
        <v>8</v>
      </c>
      <c r="H142" s="170">
        <v>5</v>
      </c>
      <c r="I142" s="166">
        <v>1</v>
      </c>
      <c r="J142" s="170">
        <v>5</v>
      </c>
      <c r="K142" s="170"/>
      <c r="L142" s="48">
        <v>50</v>
      </c>
      <c r="M142" s="48">
        <v>202</v>
      </c>
      <c r="N142" s="175">
        <f t="shared" si="63"/>
        <v>3949.2</v>
      </c>
      <c r="O142" s="176">
        <v>3523.7</v>
      </c>
      <c r="P142" s="189">
        <f>2269.3+0.7+1+1</f>
        <v>2272</v>
      </c>
      <c r="Q142" s="190"/>
      <c r="R142" s="172"/>
      <c r="S142" s="172"/>
      <c r="T142" s="172"/>
      <c r="U142" s="172"/>
      <c r="V142" s="172">
        <v>370</v>
      </c>
      <c r="W142" s="172">
        <v>55.5</v>
      </c>
      <c r="X142" s="172">
        <f t="shared" si="59"/>
        <v>481</v>
      </c>
      <c r="Y142" s="198">
        <f t="shared" si="62"/>
        <v>344.1</v>
      </c>
      <c r="Z142" s="198">
        <f t="shared" si="61"/>
        <v>192.39999999999998</v>
      </c>
      <c r="AA142" s="190"/>
      <c r="AB142" s="210">
        <v>48</v>
      </c>
    </row>
    <row r="143" spans="1:28" ht="12.75">
      <c r="A143" s="165">
        <v>108</v>
      </c>
      <c r="B143" s="48">
        <v>1994</v>
      </c>
      <c r="C143" s="48" t="s">
        <v>144</v>
      </c>
      <c r="D143" s="167" t="s">
        <v>149</v>
      </c>
      <c r="E143" s="166">
        <v>11</v>
      </c>
      <c r="F143" s="170" t="s">
        <v>39</v>
      </c>
      <c r="G143" s="170">
        <v>8</v>
      </c>
      <c r="H143" s="170">
        <v>5</v>
      </c>
      <c r="I143" s="166">
        <v>1</v>
      </c>
      <c r="J143" s="170">
        <v>9</v>
      </c>
      <c r="K143" s="170"/>
      <c r="L143" s="48">
        <v>135</v>
      </c>
      <c r="M143" s="48">
        <v>301</v>
      </c>
      <c r="N143" s="175">
        <f t="shared" si="63"/>
        <v>7345.7</v>
      </c>
      <c r="O143" s="176">
        <v>6607.1</v>
      </c>
      <c r="P143" s="189">
        <f>3797.8+0.3-0.3</f>
        <v>3797.8</v>
      </c>
      <c r="Q143" s="190"/>
      <c r="R143" s="172"/>
      <c r="S143" s="172"/>
      <c r="T143" s="172"/>
      <c r="U143" s="172"/>
      <c r="V143" s="172">
        <v>630.7</v>
      </c>
      <c r="W143" s="172">
        <v>107.9</v>
      </c>
      <c r="X143" s="172">
        <f t="shared" si="59"/>
        <v>819.9100000000001</v>
      </c>
      <c r="Y143" s="198">
        <f t="shared" si="62"/>
        <v>599.8460000000001</v>
      </c>
      <c r="Z143" s="198">
        <f t="shared" si="61"/>
        <v>327.96399999999994</v>
      </c>
      <c r="AA143" s="190"/>
      <c r="AB143" s="210">
        <v>129.6</v>
      </c>
    </row>
    <row r="144" spans="1:28" ht="12.75">
      <c r="A144" s="165">
        <v>109</v>
      </c>
      <c r="B144" s="48">
        <v>1987</v>
      </c>
      <c r="C144" s="48" t="s">
        <v>140</v>
      </c>
      <c r="D144" s="167" t="s">
        <v>38</v>
      </c>
      <c r="E144" s="166" t="s">
        <v>153</v>
      </c>
      <c r="F144" s="170" t="s">
        <v>39</v>
      </c>
      <c r="G144" s="170">
        <v>8</v>
      </c>
      <c r="H144" s="170">
        <v>5</v>
      </c>
      <c r="I144" s="166">
        <v>1</v>
      </c>
      <c r="J144" s="170">
        <v>5</v>
      </c>
      <c r="K144" s="170"/>
      <c r="L144" s="48">
        <v>75</v>
      </c>
      <c r="M144" s="48">
        <v>170</v>
      </c>
      <c r="N144" s="175">
        <f t="shared" si="63"/>
        <v>4093.5</v>
      </c>
      <c r="O144" s="176">
        <v>3690.9</v>
      </c>
      <c r="P144" s="189">
        <f>2119-0.5-0.2</f>
        <v>2118.3</v>
      </c>
      <c r="Q144" s="190"/>
      <c r="R144" s="172"/>
      <c r="S144" s="172"/>
      <c r="T144" s="172"/>
      <c r="U144" s="172"/>
      <c r="V144" s="172">
        <v>348</v>
      </c>
      <c r="W144" s="172">
        <v>54.6</v>
      </c>
      <c r="X144" s="172">
        <f t="shared" si="59"/>
        <v>452.40000000000003</v>
      </c>
      <c r="Y144" s="198">
        <f t="shared" si="62"/>
        <v>326.04</v>
      </c>
      <c r="Z144" s="198">
        <f t="shared" si="61"/>
        <v>180.96000000000004</v>
      </c>
      <c r="AA144" s="190"/>
      <c r="AB144" s="210">
        <v>72</v>
      </c>
    </row>
    <row r="145" spans="1:28" ht="12.75">
      <c r="A145" s="165">
        <v>110</v>
      </c>
      <c r="B145" s="48">
        <v>1987</v>
      </c>
      <c r="C145" s="48" t="s">
        <v>140</v>
      </c>
      <c r="D145" s="167" t="s">
        <v>38</v>
      </c>
      <c r="E145" s="166">
        <v>39</v>
      </c>
      <c r="F145" s="170" t="s">
        <v>39</v>
      </c>
      <c r="G145" s="170">
        <v>8</v>
      </c>
      <c r="H145" s="170">
        <v>5</v>
      </c>
      <c r="I145" s="166">
        <v>1</v>
      </c>
      <c r="J145" s="170">
        <v>5</v>
      </c>
      <c r="K145" s="170"/>
      <c r="L145" s="48">
        <v>60</v>
      </c>
      <c r="M145" s="48">
        <v>160</v>
      </c>
      <c r="N145" s="175">
        <f t="shared" si="63"/>
        <v>4109</v>
      </c>
      <c r="O145" s="176">
        <v>2997.6</v>
      </c>
      <c r="P145" s="183">
        <v>1745.6</v>
      </c>
      <c r="Q145" s="190"/>
      <c r="R145" s="172"/>
      <c r="S145" s="172"/>
      <c r="T145" s="172"/>
      <c r="U145" s="172">
        <v>698.7</v>
      </c>
      <c r="V145" s="172">
        <v>347</v>
      </c>
      <c r="W145" s="172">
        <v>65.7</v>
      </c>
      <c r="X145" s="172">
        <f t="shared" si="59"/>
        <v>451.1</v>
      </c>
      <c r="Y145" s="198">
        <f t="shared" si="62"/>
        <v>336.35999999999996</v>
      </c>
      <c r="Z145" s="198">
        <f t="shared" si="61"/>
        <v>180.4400000000001</v>
      </c>
      <c r="AA145" s="190"/>
      <c r="AB145" s="210">
        <v>57.6</v>
      </c>
    </row>
    <row r="146" spans="1:28" ht="12.75">
      <c r="A146" s="165">
        <v>111</v>
      </c>
      <c r="B146" s="48">
        <v>1994</v>
      </c>
      <c r="C146" s="48" t="s">
        <v>50</v>
      </c>
      <c r="D146" s="167" t="s">
        <v>38</v>
      </c>
      <c r="E146" s="166">
        <v>35</v>
      </c>
      <c r="F146" s="167" t="s">
        <v>56</v>
      </c>
      <c r="G146" s="166">
        <v>2</v>
      </c>
      <c r="H146" s="166">
        <v>9</v>
      </c>
      <c r="I146" s="166">
        <v>1</v>
      </c>
      <c r="J146" s="166">
        <v>1</v>
      </c>
      <c r="K146" s="166"/>
      <c r="L146" s="48">
        <v>36</v>
      </c>
      <c r="M146" s="48">
        <v>80</v>
      </c>
      <c r="N146" s="175">
        <f t="shared" si="63"/>
        <v>2305.62</v>
      </c>
      <c r="O146" s="176">
        <v>1980.8</v>
      </c>
      <c r="P146" s="177">
        <f>1200.4-0.9-0.6+0.2+3.7+0</f>
        <v>1202.8000000000002</v>
      </c>
      <c r="Q146" s="190"/>
      <c r="R146" s="172"/>
      <c r="S146" s="172"/>
      <c r="T146" s="172"/>
      <c r="U146" s="172"/>
      <c r="V146" s="172">
        <v>123.12</v>
      </c>
      <c r="W146" s="172">
        <v>201.7</v>
      </c>
      <c r="X146" s="198">
        <f t="shared" si="59"/>
        <v>160.056</v>
      </c>
      <c r="Y146" s="198">
        <f>W146/H146*4+X146/H146*4</f>
        <v>160.78044444444447</v>
      </c>
      <c r="Z146" s="198">
        <f t="shared" si="61"/>
        <v>200.9755555555555</v>
      </c>
      <c r="AA146" s="190"/>
      <c r="AB146" s="210">
        <v>108.9</v>
      </c>
    </row>
    <row r="147" spans="1:28" ht="12.75">
      <c r="A147" s="165"/>
      <c r="B147" s="49"/>
      <c r="C147" s="49"/>
      <c r="D147" s="169" t="s">
        <v>154</v>
      </c>
      <c r="E147" s="166"/>
      <c r="F147" s="166"/>
      <c r="G147" s="166"/>
      <c r="H147" s="166"/>
      <c r="I147" s="174">
        <f aca="true" t="shared" si="64" ref="I147:AB147">SUM(I115:I146)</f>
        <v>32</v>
      </c>
      <c r="J147" s="174">
        <f t="shared" si="64"/>
        <v>163</v>
      </c>
      <c r="K147" s="174">
        <f t="shared" si="64"/>
        <v>0</v>
      </c>
      <c r="L147" s="174">
        <f t="shared" si="64"/>
        <v>2623</v>
      </c>
      <c r="M147" s="174">
        <f t="shared" si="64"/>
        <v>7504</v>
      </c>
      <c r="N147" s="220">
        <f t="shared" si="64"/>
        <v>156098.63</v>
      </c>
      <c r="O147" s="221">
        <f t="shared" si="64"/>
        <v>134740.19999999998</v>
      </c>
      <c r="P147" s="222">
        <f t="shared" si="64"/>
        <v>79066.16</v>
      </c>
      <c r="Q147" s="196">
        <f t="shared" si="64"/>
        <v>80.3</v>
      </c>
      <c r="R147" s="196">
        <f t="shared" si="64"/>
        <v>52.6</v>
      </c>
      <c r="S147" s="196">
        <f t="shared" si="64"/>
        <v>997.1999999999999</v>
      </c>
      <c r="T147" s="196">
        <f t="shared" si="64"/>
        <v>371.9</v>
      </c>
      <c r="U147" s="196">
        <f t="shared" si="64"/>
        <v>1169.1000000000001</v>
      </c>
      <c r="V147" s="197">
        <f t="shared" si="64"/>
        <v>11601.830000000002</v>
      </c>
      <c r="W147" s="201">
        <f t="shared" si="64"/>
        <v>7509.999999999997</v>
      </c>
      <c r="X147" s="201">
        <f t="shared" si="64"/>
        <v>15082.378999999999</v>
      </c>
      <c r="Y147" s="201">
        <f t="shared" si="64"/>
        <v>13282.276911111116</v>
      </c>
      <c r="Z147" s="201">
        <f t="shared" si="64"/>
        <v>9310.102088888885</v>
      </c>
      <c r="AA147" s="201">
        <f t="shared" si="64"/>
        <v>0</v>
      </c>
      <c r="AB147" s="224">
        <f t="shared" si="64"/>
        <v>2520.2999999999997</v>
      </c>
    </row>
    <row r="148" spans="1:28" ht="12.75">
      <c r="A148" s="218">
        <f>A147+1</f>
        <v>1</v>
      </c>
      <c r="B148" s="48"/>
      <c r="C148" s="48"/>
      <c r="D148" s="166" t="s">
        <v>155</v>
      </c>
      <c r="E148" s="170"/>
      <c r="F148" s="170"/>
      <c r="G148" s="170"/>
      <c r="H148" s="170"/>
      <c r="I148" s="170"/>
      <c r="J148" s="170"/>
      <c r="K148" s="170"/>
      <c r="L148" s="172"/>
      <c r="M148" s="172"/>
      <c r="N148" s="175"/>
      <c r="O148" s="176"/>
      <c r="P148" s="177"/>
      <c r="Q148" s="190"/>
      <c r="R148" s="172"/>
      <c r="S148" s="172"/>
      <c r="T148" s="172"/>
      <c r="U148" s="172"/>
      <c r="V148" s="172"/>
      <c r="W148" s="172"/>
      <c r="X148" s="182"/>
      <c r="Y148" s="182"/>
      <c r="Z148" s="182"/>
      <c r="AA148" s="215"/>
      <c r="AB148" s="216"/>
    </row>
    <row r="149" spans="1:28" ht="12.75">
      <c r="A149" s="165">
        <v>112</v>
      </c>
      <c r="B149" s="48">
        <v>1990</v>
      </c>
      <c r="C149" s="48" t="s">
        <v>50</v>
      </c>
      <c r="D149" s="167" t="s">
        <v>156</v>
      </c>
      <c r="E149" s="166">
        <v>3</v>
      </c>
      <c r="F149" s="170" t="s">
        <v>39</v>
      </c>
      <c r="G149" s="170">
        <v>8</v>
      </c>
      <c r="H149" s="170">
        <v>5</v>
      </c>
      <c r="I149" s="170">
        <v>1</v>
      </c>
      <c r="J149" s="170">
        <v>3</v>
      </c>
      <c r="K149" s="170"/>
      <c r="L149" s="170">
        <v>30</v>
      </c>
      <c r="M149" s="170">
        <v>116</v>
      </c>
      <c r="N149" s="175">
        <f aca="true" t="shared" si="65" ref="N149:N172">O149+Q149+S149+U149+V149+W149</f>
        <v>2349.1000000000004</v>
      </c>
      <c r="O149" s="176">
        <v>2125.3</v>
      </c>
      <c r="P149" s="177">
        <f>1363.5-0.6</f>
        <v>1362.9</v>
      </c>
      <c r="Q149" s="190"/>
      <c r="R149" s="172"/>
      <c r="S149" s="172"/>
      <c r="T149" s="172"/>
      <c r="U149" s="172"/>
      <c r="V149" s="172">
        <v>190.5</v>
      </c>
      <c r="W149" s="172">
        <v>33.3</v>
      </c>
      <c r="X149" s="172">
        <f>V149*1.3</f>
        <v>247.65</v>
      </c>
      <c r="Y149" s="198">
        <f aca="true" t="shared" si="66" ref="Y149:Y154">X149/H149*3+W149</f>
        <v>181.89</v>
      </c>
      <c r="Z149" s="198">
        <f aca="true" t="shared" si="67" ref="Z149:Z172">W149+X149-Y149</f>
        <v>99.06</v>
      </c>
      <c r="AA149" s="217"/>
      <c r="AB149" s="225">
        <v>50.4</v>
      </c>
    </row>
    <row r="150" spans="1:28" ht="12.75">
      <c r="A150" s="165">
        <f aca="true" t="shared" si="68" ref="A150:A172">A149+1</f>
        <v>113</v>
      </c>
      <c r="B150" s="48">
        <v>1991</v>
      </c>
      <c r="C150" s="48" t="s">
        <v>50</v>
      </c>
      <c r="D150" s="167" t="s">
        <v>156</v>
      </c>
      <c r="E150" s="166" t="s">
        <v>157</v>
      </c>
      <c r="F150" s="170" t="s">
        <v>39</v>
      </c>
      <c r="G150" s="170">
        <v>8</v>
      </c>
      <c r="H150" s="170">
        <v>5</v>
      </c>
      <c r="I150" s="170">
        <v>1</v>
      </c>
      <c r="J150" s="170">
        <v>3</v>
      </c>
      <c r="K150" s="170"/>
      <c r="L150" s="170">
        <v>30</v>
      </c>
      <c r="M150" s="170">
        <v>103</v>
      </c>
      <c r="N150" s="175">
        <f t="shared" si="65"/>
        <v>2363.6</v>
      </c>
      <c r="O150" s="176">
        <v>2120.4</v>
      </c>
      <c r="P150" s="177">
        <v>1370.1</v>
      </c>
      <c r="Q150" s="190"/>
      <c r="R150" s="172"/>
      <c r="S150" s="172"/>
      <c r="T150" s="172"/>
      <c r="U150" s="172"/>
      <c r="V150" s="172">
        <v>209.5</v>
      </c>
      <c r="W150" s="172">
        <v>33.7</v>
      </c>
      <c r="X150" s="172">
        <f aca="true" t="shared" si="69" ref="X150:X172">V150*1.3</f>
        <v>272.35</v>
      </c>
      <c r="Y150" s="198">
        <f t="shared" si="66"/>
        <v>197.11</v>
      </c>
      <c r="Z150" s="198">
        <f t="shared" si="67"/>
        <v>108.94</v>
      </c>
      <c r="AA150" s="190"/>
      <c r="AB150" s="205">
        <v>43.2</v>
      </c>
    </row>
    <row r="151" spans="1:28" ht="12.75">
      <c r="A151" s="165">
        <f t="shared" si="68"/>
        <v>114</v>
      </c>
      <c r="B151" s="48">
        <v>1990</v>
      </c>
      <c r="C151" s="48" t="s">
        <v>50</v>
      </c>
      <c r="D151" s="167" t="s">
        <v>156</v>
      </c>
      <c r="E151" s="166">
        <v>5</v>
      </c>
      <c r="F151" s="170" t="s">
        <v>39</v>
      </c>
      <c r="G151" s="170">
        <v>8</v>
      </c>
      <c r="H151" s="170">
        <v>5</v>
      </c>
      <c r="I151" s="170">
        <v>1</v>
      </c>
      <c r="J151" s="170">
        <v>5</v>
      </c>
      <c r="K151" s="170"/>
      <c r="L151" s="170">
        <v>50</v>
      </c>
      <c r="M151" s="170">
        <v>185</v>
      </c>
      <c r="N151" s="175">
        <f t="shared" si="65"/>
        <v>4001.8</v>
      </c>
      <c r="O151" s="176">
        <v>3591.8</v>
      </c>
      <c r="P151" s="177">
        <f>2305.3-1.1-0.8+2.5</f>
        <v>2305.9</v>
      </c>
      <c r="Q151" s="190"/>
      <c r="R151" s="172"/>
      <c r="S151" s="172"/>
      <c r="T151" s="172"/>
      <c r="U151" s="172"/>
      <c r="V151" s="172">
        <v>354.4</v>
      </c>
      <c r="W151" s="172">
        <v>55.6</v>
      </c>
      <c r="X151" s="172">
        <f t="shared" si="69"/>
        <v>460.71999999999997</v>
      </c>
      <c r="Y151" s="198">
        <f t="shared" si="66"/>
        <v>332.032</v>
      </c>
      <c r="Z151" s="198">
        <f t="shared" si="67"/>
        <v>184.28799999999995</v>
      </c>
      <c r="AA151" s="190"/>
      <c r="AB151" s="205">
        <v>72</v>
      </c>
    </row>
    <row r="152" spans="1:28" ht="12.75">
      <c r="A152" s="165">
        <f t="shared" si="68"/>
        <v>115</v>
      </c>
      <c r="B152" s="48">
        <v>1991</v>
      </c>
      <c r="C152" s="48" t="s">
        <v>50</v>
      </c>
      <c r="D152" s="167" t="s">
        <v>156</v>
      </c>
      <c r="E152" s="166">
        <v>7</v>
      </c>
      <c r="F152" s="170" t="s">
        <v>39</v>
      </c>
      <c r="G152" s="170">
        <v>8</v>
      </c>
      <c r="H152" s="170">
        <v>5</v>
      </c>
      <c r="I152" s="170">
        <v>1</v>
      </c>
      <c r="J152" s="170">
        <v>7</v>
      </c>
      <c r="K152" s="170"/>
      <c r="L152" s="170">
        <v>104</v>
      </c>
      <c r="M152" s="170">
        <v>282</v>
      </c>
      <c r="N152" s="175">
        <f t="shared" si="65"/>
        <v>5808.8</v>
      </c>
      <c r="O152" s="176">
        <v>5184.2</v>
      </c>
      <c r="P152" s="177">
        <f>2957.2-0.3</f>
        <v>2956.8999999999996</v>
      </c>
      <c r="Q152" s="190"/>
      <c r="R152" s="172"/>
      <c r="S152" s="172">
        <v>48.7</v>
      </c>
      <c r="T152" s="172">
        <v>29.2</v>
      </c>
      <c r="U152" s="172"/>
      <c r="V152" s="172">
        <v>498.3</v>
      </c>
      <c r="W152" s="172">
        <v>77.6</v>
      </c>
      <c r="X152" s="172">
        <f t="shared" si="69"/>
        <v>647.7900000000001</v>
      </c>
      <c r="Y152" s="198">
        <f t="shared" si="66"/>
        <v>466.2740000000001</v>
      </c>
      <c r="Z152" s="198">
        <f t="shared" si="67"/>
        <v>259.116</v>
      </c>
      <c r="AA152" s="190"/>
      <c r="AB152" s="205">
        <v>114.7</v>
      </c>
    </row>
    <row r="153" spans="1:28" ht="12.75">
      <c r="A153" s="165">
        <f t="shared" si="68"/>
        <v>116</v>
      </c>
      <c r="B153" s="48">
        <v>1990</v>
      </c>
      <c r="C153" s="48" t="s">
        <v>50</v>
      </c>
      <c r="D153" s="167" t="s">
        <v>156</v>
      </c>
      <c r="E153" s="166">
        <v>9</v>
      </c>
      <c r="F153" s="170" t="s">
        <v>39</v>
      </c>
      <c r="G153" s="170">
        <v>8</v>
      </c>
      <c r="H153" s="170">
        <v>5</v>
      </c>
      <c r="I153" s="170">
        <v>1</v>
      </c>
      <c r="J153" s="170">
        <v>3</v>
      </c>
      <c r="K153" s="170"/>
      <c r="L153" s="170">
        <v>29</v>
      </c>
      <c r="M153" s="170">
        <v>108</v>
      </c>
      <c r="N153" s="175">
        <f t="shared" si="65"/>
        <v>2395.9</v>
      </c>
      <c r="O153" s="176">
        <v>2074.6</v>
      </c>
      <c r="P153" s="177">
        <f>1390.9-1.2</f>
        <v>1389.7</v>
      </c>
      <c r="Q153" s="190"/>
      <c r="R153" s="172"/>
      <c r="S153" s="172">
        <v>78</v>
      </c>
      <c r="T153" s="172"/>
      <c r="U153" s="172"/>
      <c r="V153" s="172">
        <v>209.3</v>
      </c>
      <c r="W153" s="172">
        <v>34</v>
      </c>
      <c r="X153" s="172">
        <f t="shared" si="69"/>
        <v>272.09000000000003</v>
      </c>
      <c r="Y153" s="198">
        <f t="shared" si="66"/>
        <v>197.25400000000002</v>
      </c>
      <c r="Z153" s="198">
        <f t="shared" si="67"/>
        <v>108.83600000000001</v>
      </c>
      <c r="AA153" s="190"/>
      <c r="AB153" s="205">
        <v>49.1</v>
      </c>
    </row>
    <row r="154" spans="1:28" ht="12.75">
      <c r="A154" s="165">
        <f t="shared" si="68"/>
        <v>117</v>
      </c>
      <c r="B154" s="48">
        <v>1991</v>
      </c>
      <c r="C154" s="48" t="s">
        <v>50</v>
      </c>
      <c r="D154" s="167" t="s">
        <v>156</v>
      </c>
      <c r="E154" s="166" t="s">
        <v>158</v>
      </c>
      <c r="F154" s="170" t="s">
        <v>39</v>
      </c>
      <c r="G154" s="170">
        <v>8</v>
      </c>
      <c r="H154" s="170">
        <v>5</v>
      </c>
      <c r="I154" s="170">
        <v>1</v>
      </c>
      <c r="J154" s="170">
        <v>3</v>
      </c>
      <c r="K154" s="170"/>
      <c r="L154" s="170">
        <v>30</v>
      </c>
      <c r="M154" s="170">
        <v>101</v>
      </c>
      <c r="N154" s="175">
        <f t="shared" si="65"/>
        <v>2370.3</v>
      </c>
      <c r="O154" s="176">
        <v>2125.9</v>
      </c>
      <c r="P154" s="177">
        <f>1364.6-3.2+3.8+4</f>
        <v>1369.1999999999998</v>
      </c>
      <c r="Q154" s="190"/>
      <c r="R154" s="172"/>
      <c r="S154" s="172"/>
      <c r="T154" s="172"/>
      <c r="U154" s="172"/>
      <c r="V154" s="172">
        <v>211.4</v>
      </c>
      <c r="W154" s="172">
        <v>33</v>
      </c>
      <c r="X154" s="172">
        <f t="shared" si="69"/>
        <v>274.82</v>
      </c>
      <c r="Y154" s="198">
        <f t="shared" si="66"/>
        <v>197.892</v>
      </c>
      <c r="Z154" s="198">
        <f t="shared" si="67"/>
        <v>109.928</v>
      </c>
      <c r="AA154" s="190"/>
      <c r="AB154" s="205">
        <v>50.4</v>
      </c>
    </row>
    <row r="155" spans="1:28" ht="15" customHeight="1">
      <c r="A155" s="165">
        <f t="shared" si="68"/>
        <v>118</v>
      </c>
      <c r="B155" s="48">
        <v>1994</v>
      </c>
      <c r="C155" s="48" t="s">
        <v>50</v>
      </c>
      <c r="D155" s="167" t="s">
        <v>159</v>
      </c>
      <c r="E155" s="166">
        <v>109</v>
      </c>
      <c r="F155" s="170" t="s">
        <v>39</v>
      </c>
      <c r="G155" s="166">
        <v>1</v>
      </c>
      <c r="H155" s="166">
        <v>9</v>
      </c>
      <c r="I155" s="170">
        <v>1</v>
      </c>
      <c r="J155" s="166">
        <v>1</v>
      </c>
      <c r="K155" s="166"/>
      <c r="L155" s="170">
        <v>36</v>
      </c>
      <c r="M155" s="170">
        <v>121</v>
      </c>
      <c r="N155" s="175">
        <f t="shared" si="65"/>
        <v>2338.2000000000003</v>
      </c>
      <c r="O155" s="176">
        <v>2034.9</v>
      </c>
      <c r="P155" s="177">
        <f>1355.3-0.9-0.8-0.8-0.7</f>
        <v>1352.1</v>
      </c>
      <c r="Q155" s="190"/>
      <c r="R155" s="172"/>
      <c r="S155" s="172"/>
      <c r="T155" s="172"/>
      <c r="U155" s="172"/>
      <c r="V155" s="172">
        <v>85.5</v>
      </c>
      <c r="W155" s="172">
        <v>217.8</v>
      </c>
      <c r="X155" s="172">
        <f t="shared" si="69"/>
        <v>111.15</v>
      </c>
      <c r="Y155" s="198">
        <f>X155/H155*4+24.2+217.8/8*3</f>
        <v>155.27500000000003</v>
      </c>
      <c r="Z155" s="198">
        <f t="shared" si="67"/>
        <v>173.675</v>
      </c>
      <c r="AA155" s="190"/>
      <c r="AB155" s="205">
        <v>64.3</v>
      </c>
    </row>
    <row r="156" spans="1:28" ht="12.75">
      <c r="A156" s="165">
        <f t="shared" si="68"/>
        <v>119</v>
      </c>
      <c r="B156" s="48">
        <v>1989</v>
      </c>
      <c r="C156" s="48" t="s">
        <v>50</v>
      </c>
      <c r="D156" s="167" t="s">
        <v>159</v>
      </c>
      <c r="E156" s="166">
        <v>111</v>
      </c>
      <c r="F156" s="170" t="s">
        <v>39</v>
      </c>
      <c r="G156" s="170">
        <v>8</v>
      </c>
      <c r="H156" s="170">
        <v>5</v>
      </c>
      <c r="I156" s="170">
        <v>1</v>
      </c>
      <c r="J156" s="170">
        <v>7</v>
      </c>
      <c r="K156" s="170"/>
      <c r="L156" s="170">
        <f>105</f>
        <v>105</v>
      </c>
      <c r="M156" s="170">
        <v>276</v>
      </c>
      <c r="N156" s="175">
        <f t="shared" si="65"/>
        <v>5780.5</v>
      </c>
      <c r="O156" s="176">
        <v>4988.9</v>
      </c>
      <c r="P156" s="177">
        <f>2940.5-17.5-0.1-0.2-0.1-29.1-41.5+2.1-7.4</f>
        <v>2846.7000000000003</v>
      </c>
      <c r="Q156" s="190">
        <v>64.7</v>
      </c>
      <c r="R156" s="172">
        <v>41.5</v>
      </c>
      <c r="S156" s="172">
        <v>39.6</v>
      </c>
      <c r="T156" s="172">
        <f>17.5</f>
        <v>17.5</v>
      </c>
      <c r="U156" s="172">
        <f>87.6+16.5</f>
        <v>104.1</v>
      </c>
      <c r="V156" s="172">
        <v>500.9</v>
      </c>
      <c r="W156" s="172">
        <v>82.3</v>
      </c>
      <c r="X156" s="172">
        <f t="shared" si="69"/>
        <v>651.17</v>
      </c>
      <c r="Y156" s="198">
        <f aca="true" t="shared" si="70" ref="Y156:Y165">X156/H156*3+W156</f>
        <v>473.00199999999995</v>
      </c>
      <c r="Z156" s="198">
        <f t="shared" si="67"/>
        <v>260.46799999999996</v>
      </c>
      <c r="AA156" s="190"/>
      <c r="AB156" s="205">
        <v>100.8</v>
      </c>
    </row>
    <row r="157" spans="1:28" ht="12.75">
      <c r="A157" s="165">
        <f t="shared" si="68"/>
        <v>120</v>
      </c>
      <c r="B157" s="48">
        <v>1990</v>
      </c>
      <c r="C157" s="48" t="s">
        <v>50</v>
      </c>
      <c r="D157" s="167" t="s">
        <v>159</v>
      </c>
      <c r="E157" s="166" t="s">
        <v>160</v>
      </c>
      <c r="F157" s="170" t="s">
        <v>39</v>
      </c>
      <c r="G157" s="170">
        <v>8</v>
      </c>
      <c r="H157" s="170">
        <v>5</v>
      </c>
      <c r="I157" s="170">
        <v>1</v>
      </c>
      <c r="J157" s="170">
        <v>5</v>
      </c>
      <c r="K157" s="170"/>
      <c r="L157" s="170">
        <v>75</v>
      </c>
      <c r="M157" s="170">
        <f>190+282</f>
        <v>472</v>
      </c>
      <c r="N157" s="175">
        <f t="shared" si="65"/>
        <v>4105.9</v>
      </c>
      <c r="O157" s="176">
        <f>3715.5-0.6-0.5-0.9-0.4</f>
        <v>3713.1</v>
      </c>
      <c r="P157" s="177">
        <f>2126.9-0.4-0.3-0.5-0.1</f>
        <v>2125.6</v>
      </c>
      <c r="Q157" s="190"/>
      <c r="R157" s="172"/>
      <c r="S157" s="172"/>
      <c r="T157" s="172"/>
      <c r="U157" s="172"/>
      <c r="V157" s="172">
        <v>348</v>
      </c>
      <c r="W157" s="172">
        <v>44.8</v>
      </c>
      <c r="X157" s="172">
        <f aca="true" t="shared" si="71" ref="X157:X164">V157*1.3</f>
        <v>452.40000000000003</v>
      </c>
      <c r="Y157" s="198">
        <f t="shared" si="70"/>
        <v>316.24</v>
      </c>
      <c r="Z157" s="198">
        <f t="shared" si="67"/>
        <v>180.96000000000004</v>
      </c>
      <c r="AA157" s="190"/>
      <c r="AB157" s="205">
        <v>72</v>
      </c>
    </row>
    <row r="158" spans="1:28" ht="12.75">
      <c r="A158" s="165">
        <f t="shared" si="68"/>
        <v>121</v>
      </c>
      <c r="B158" s="48">
        <v>1990</v>
      </c>
      <c r="C158" s="48" t="s">
        <v>50</v>
      </c>
      <c r="D158" s="167" t="s">
        <v>159</v>
      </c>
      <c r="E158" s="166" t="s">
        <v>161</v>
      </c>
      <c r="F158" s="170" t="s">
        <v>39</v>
      </c>
      <c r="G158" s="170">
        <v>8</v>
      </c>
      <c r="H158" s="170">
        <v>5</v>
      </c>
      <c r="I158" s="170">
        <v>1</v>
      </c>
      <c r="J158" s="170">
        <v>3</v>
      </c>
      <c r="K158" s="170"/>
      <c r="L158" s="170">
        <v>30</v>
      </c>
      <c r="M158" s="170">
        <f>107+76</f>
        <v>183</v>
      </c>
      <c r="N158" s="175">
        <f t="shared" si="65"/>
        <v>2390.1</v>
      </c>
      <c r="O158" s="182">
        <f>2146.7</f>
        <v>2146.7</v>
      </c>
      <c r="P158" s="183">
        <f>1376.4</f>
        <v>1376.4</v>
      </c>
      <c r="Q158" s="190"/>
      <c r="R158" s="172"/>
      <c r="S158" s="172"/>
      <c r="T158" s="172"/>
      <c r="U158" s="172"/>
      <c r="V158" s="172">
        <v>210</v>
      </c>
      <c r="W158" s="172">
        <v>33.4</v>
      </c>
      <c r="X158" s="172">
        <f t="shared" si="71"/>
        <v>273</v>
      </c>
      <c r="Y158" s="198">
        <f t="shared" si="70"/>
        <v>197.20000000000002</v>
      </c>
      <c r="Z158" s="198">
        <f t="shared" si="67"/>
        <v>109.19999999999996</v>
      </c>
      <c r="AA158" s="190"/>
      <c r="AB158" s="205">
        <v>43.2</v>
      </c>
    </row>
    <row r="159" spans="1:28" ht="12.75">
      <c r="A159" s="165">
        <f t="shared" si="68"/>
        <v>122</v>
      </c>
      <c r="B159" s="48">
        <v>1990</v>
      </c>
      <c r="C159" s="48" t="s">
        <v>50</v>
      </c>
      <c r="D159" s="167" t="s">
        <v>159</v>
      </c>
      <c r="E159" s="166">
        <v>113</v>
      </c>
      <c r="F159" s="170" t="s">
        <v>39</v>
      </c>
      <c r="G159" s="170">
        <v>8</v>
      </c>
      <c r="H159" s="170">
        <v>5</v>
      </c>
      <c r="I159" s="170">
        <v>1</v>
      </c>
      <c r="J159" s="170">
        <v>6</v>
      </c>
      <c r="K159" s="170"/>
      <c r="L159" s="170">
        <v>89</v>
      </c>
      <c r="M159" s="170">
        <v>233</v>
      </c>
      <c r="N159" s="175">
        <f t="shared" si="65"/>
        <v>4954.4</v>
      </c>
      <c r="O159" s="182">
        <f>4455-0.1-0.9-1.5</f>
        <v>4452.5</v>
      </c>
      <c r="P159" s="183">
        <f>2559.5+0-0.7-0.1</f>
        <v>2558.7000000000003</v>
      </c>
      <c r="Q159" s="190"/>
      <c r="R159" s="172"/>
      <c r="S159" s="172"/>
      <c r="T159" s="172"/>
      <c r="U159" s="172"/>
      <c r="V159" s="172">
        <v>426.4</v>
      </c>
      <c r="W159" s="172">
        <v>75.5</v>
      </c>
      <c r="X159" s="172">
        <f t="shared" si="71"/>
        <v>554.3199999999999</v>
      </c>
      <c r="Y159" s="198">
        <f t="shared" si="70"/>
        <v>408.092</v>
      </c>
      <c r="Z159" s="198">
        <f t="shared" si="67"/>
        <v>221.72799999999995</v>
      </c>
      <c r="AA159" s="190"/>
      <c r="AB159" s="205">
        <v>86.4</v>
      </c>
    </row>
    <row r="160" spans="1:28" ht="12.75">
      <c r="A160" s="165">
        <f t="shared" si="68"/>
        <v>123</v>
      </c>
      <c r="B160" s="48">
        <v>1990</v>
      </c>
      <c r="C160" s="48" t="s">
        <v>50</v>
      </c>
      <c r="D160" s="167" t="s">
        <v>159</v>
      </c>
      <c r="E160" s="166" t="s">
        <v>162</v>
      </c>
      <c r="F160" s="170" t="s">
        <v>39</v>
      </c>
      <c r="G160" s="170">
        <v>8</v>
      </c>
      <c r="H160" s="170">
        <v>5</v>
      </c>
      <c r="I160" s="170">
        <v>1</v>
      </c>
      <c r="J160" s="170">
        <v>4</v>
      </c>
      <c r="K160" s="170"/>
      <c r="L160" s="170">
        <f>60</f>
        <v>60</v>
      </c>
      <c r="M160" s="170">
        <v>161</v>
      </c>
      <c r="N160" s="175">
        <f t="shared" si="65"/>
        <v>3291.399999999999</v>
      </c>
      <c r="O160" s="182">
        <f>2965.2-51.3-0.4</f>
        <v>2913.4999999999995</v>
      </c>
      <c r="P160" s="177">
        <f>1703-28.9</f>
        <v>1674.1</v>
      </c>
      <c r="Q160" s="190"/>
      <c r="R160" s="172"/>
      <c r="S160" s="172">
        <v>51.2</v>
      </c>
      <c r="T160" s="172">
        <v>28.9</v>
      </c>
      <c r="U160" s="172"/>
      <c r="V160" s="172">
        <v>282.2</v>
      </c>
      <c r="W160" s="172">
        <v>44.5</v>
      </c>
      <c r="X160" s="172">
        <f t="shared" si="71"/>
        <v>366.86</v>
      </c>
      <c r="Y160" s="198">
        <f t="shared" si="70"/>
        <v>264.616</v>
      </c>
      <c r="Z160" s="198">
        <f t="shared" si="67"/>
        <v>146.74400000000003</v>
      </c>
      <c r="AA160" s="190"/>
      <c r="AB160" s="205">
        <v>57.6</v>
      </c>
    </row>
    <row r="161" spans="1:28" ht="12.75">
      <c r="A161" s="165">
        <f t="shared" si="68"/>
        <v>124</v>
      </c>
      <c r="B161" s="48">
        <v>1990</v>
      </c>
      <c r="C161" s="48" t="s">
        <v>50</v>
      </c>
      <c r="D161" s="167" t="s">
        <v>159</v>
      </c>
      <c r="E161" s="166" t="s">
        <v>163</v>
      </c>
      <c r="F161" s="170" t="s">
        <v>39</v>
      </c>
      <c r="G161" s="170">
        <v>8</v>
      </c>
      <c r="H161" s="170">
        <v>5</v>
      </c>
      <c r="I161" s="170">
        <v>1</v>
      </c>
      <c r="J161" s="170">
        <v>3</v>
      </c>
      <c r="K161" s="170"/>
      <c r="L161" s="170">
        <v>45</v>
      </c>
      <c r="M161" s="170">
        <v>132</v>
      </c>
      <c r="N161" s="175">
        <f t="shared" si="65"/>
        <v>2465</v>
      </c>
      <c r="O161" s="176">
        <v>2221.9</v>
      </c>
      <c r="P161" s="177">
        <v>1272.1</v>
      </c>
      <c r="Q161" s="190"/>
      <c r="R161" s="172"/>
      <c r="S161" s="172"/>
      <c r="T161" s="172"/>
      <c r="U161" s="172"/>
      <c r="V161" s="172">
        <v>210.1</v>
      </c>
      <c r="W161" s="172">
        <v>33</v>
      </c>
      <c r="X161" s="172">
        <f t="shared" si="71"/>
        <v>273.13</v>
      </c>
      <c r="Y161" s="198">
        <f t="shared" si="70"/>
        <v>196.878</v>
      </c>
      <c r="Z161" s="198">
        <f t="shared" si="67"/>
        <v>109.25200000000001</v>
      </c>
      <c r="AA161" s="190"/>
      <c r="AB161" s="205">
        <v>43.2</v>
      </c>
    </row>
    <row r="162" spans="1:28" ht="12.75">
      <c r="A162" s="165">
        <f t="shared" si="68"/>
        <v>125</v>
      </c>
      <c r="B162" s="48">
        <v>1990</v>
      </c>
      <c r="C162" s="48" t="s">
        <v>50</v>
      </c>
      <c r="D162" s="167" t="s">
        <v>159</v>
      </c>
      <c r="E162" s="166">
        <v>115</v>
      </c>
      <c r="F162" s="170" t="s">
        <v>39</v>
      </c>
      <c r="G162" s="170">
        <v>8</v>
      </c>
      <c r="H162" s="170">
        <v>5</v>
      </c>
      <c r="I162" s="170">
        <v>1</v>
      </c>
      <c r="J162" s="170">
        <v>5</v>
      </c>
      <c r="K162" s="170"/>
      <c r="L162" s="170">
        <v>89</v>
      </c>
      <c r="M162" s="170">
        <v>241</v>
      </c>
      <c r="N162" s="175">
        <f t="shared" si="65"/>
        <v>4971.1</v>
      </c>
      <c r="O162" s="223">
        <v>4471.3</v>
      </c>
      <c r="P162" s="183">
        <f>2568.3-0.2-0.4-0.4</f>
        <v>2567.3</v>
      </c>
      <c r="Q162" s="190"/>
      <c r="R162" s="172"/>
      <c r="S162" s="172"/>
      <c r="T162" s="172"/>
      <c r="U162" s="172"/>
      <c r="V162" s="172">
        <v>424</v>
      </c>
      <c r="W162" s="172">
        <v>75.8</v>
      </c>
      <c r="X162" s="172">
        <f t="shared" si="71"/>
        <v>551.2</v>
      </c>
      <c r="Y162" s="198">
        <f t="shared" si="70"/>
        <v>406.52000000000004</v>
      </c>
      <c r="Z162" s="198">
        <f t="shared" si="67"/>
        <v>220.47999999999996</v>
      </c>
      <c r="AA162" s="190"/>
      <c r="AB162" s="205">
        <v>86.4</v>
      </c>
    </row>
    <row r="163" spans="1:28" ht="12.75">
      <c r="A163" s="165">
        <f t="shared" si="68"/>
        <v>126</v>
      </c>
      <c r="B163" s="48">
        <v>1990</v>
      </c>
      <c r="C163" s="48" t="s">
        <v>50</v>
      </c>
      <c r="D163" s="167" t="s">
        <v>159</v>
      </c>
      <c r="E163" s="166" t="s">
        <v>164</v>
      </c>
      <c r="F163" s="170" t="s">
        <v>39</v>
      </c>
      <c r="G163" s="170">
        <v>8</v>
      </c>
      <c r="H163" s="170">
        <v>5</v>
      </c>
      <c r="I163" s="170">
        <v>1</v>
      </c>
      <c r="J163" s="170">
        <v>4</v>
      </c>
      <c r="K163" s="170"/>
      <c r="L163" s="170">
        <v>60</v>
      </c>
      <c r="M163" s="170">
        <v>174</v>
      </c>
      <c r="N163" s="175">
        <f t="shared" si="65"/>
        <v>3301.7</v>
      </c>
      <c r="O163" s="185">
        <v>2975</v>
      </c>
      <c r="P163" s="177">
        <f>1711.3-0.3</f>
        <v>1711</v>
      </c>
      <c r="Q163" s="190"/>
      <c r="R163" s="172"/>
      <c r="S163" s="172"/>
      <c r="T163" s="172"/>
      <c r="U163" s="172"/>
      <c r="V163" s="172">
        <v>282.2</v>
      </c>
      <c r="W163" s="172">
        <v>44.5</v>
      </c>
      <c r="X163" s="172">
        <f t="shared" si="71"/>
        <v>366.86</v>
      </c>
      <c r="Y163" s="198">
        <f t="shared" si="70"/>
        <v>264.616</v>
      </c>
      <c r="Z163" s="198">
        <f t="shared" si="67"/>
        <v>146.74400000000003</v>
      </c>
      <c r="AA163" s="190"/>
      <c r="AB163" s="205">
        <v>57.6</v>
      </c>
    </row>
    <row r="164" spans="1:28" ht="12.75">
      <c r="A164" s="165">
        <f t="shared" si="68"/>
        <v>127</v>
      </c>
      <c r="B164" s="48">
        <v>1990</v>
      </c>
      <c r="C164" s="48" t="s">
        <v>50</v>
      </c>
      <c r="D164" s="167" t="s">
        <v>159</v>
      </c>
      <c r="E164" s="166" t="s">
        <v>165</v>
      </c>
      <c r="F164" s="170" t="s">
        <v>39</v>
      </c>
      <c r="G164" s="170">
        <v>8</v>
      </c>
      <c r="H164" s="170">
        <v>5</v>
      </c>
      <c r="I164" s="170">
        <v>1</v>
      </c>
      <c r="J164" s="170">
        <v>3</v>
      </c>
      <c r="K164" s="170"/>
      <c r="L164" s="170">
        <v>45</v>
      </c>
      <c r="M164" s="170">
        <v>124</v>
      </c>
      <c r="N164" s="175">
        <f t="shared" si="65"/>
        <v>2476.1000000000004</v>
      </c>
      <c r="O164" s="176">
        <v>2231.9</v>
      </c>
      <c r="P164" s="177">
        <f>1277-0.1+6.1</f>
        <v>1283</v>
      </c>
      <c r="Q164" s="190"/>
      <c r="R164" s="172"/>
      <c r="S164" s="172"/>
      <c r="T164" s="172"/>
      <c r="U164" s="172"/>
      <c r="V164" s="172">
        <v>210.8</v>
      </c>
      <c r="W164" s="172">
        <v>33.4</v>
      </c>
      <c r="X164" s="172">
        <f t="shared" si="71"/>
        <v>274.04</v>
      </c>
      <c r="Y164" s="198">
        <f t="shared" si="70"/>
        <v>197.82400000000004</v>
      </c>
      <c r="Z164" s="198">
        <f t="shared" si="67"/>
        <v>109.61599999999996</v>
      </c>
      <c r="AA164" s="190"/>
      <c r="AB164" s="205">
        <v>43.2</v>
      </c>
    </row>
    <row r="165" spans="1:28" ht="12.75">
      <c r="A165" s="165">
        <f t="shared" si="68"/>
        <v>128</v>
      </c>
      <c r="B165" s="48">
        <v>1991</v>
      </c>
      <c r="C165" s="48" t="s">
        <v>50</v>
      </c>
      <c r="D165" s="167" t="s">
        <v>159</v>
      </c>
      <c r="E165" s="166">
        <v>117</v>
      </c>
      <c r="F165" s="170" t="s">
        <v>39</v>
      </c>
      <c r="G165" s="170">
        <v>8</v>
      </c>
      <c r="H165" s="170">
        <v>5</v>
      </c>
      <c r="I165" s="170">
        <v>1</v>
      </c>
      <c r="J165" s="170">
        <v>5</v>
      </c>
      <c r="K165" s="170"/>
      <c r="L165" s="170">
        <v>75</v>
      </c>
      <c r="M165" s="170">
        <v>224</v>
      </c>
      <c r="N165" s="175">
        <f t="shared" si="65"/>
        <v>4146.6</v>
      </c>
      <c r="O165" s="176">
        <v>3735.4</v>
      </c>
      <c r="P165" s="177">
        <f>2144.4-0.2-0.4</f>
        <v>2143.8</v>
      </c>
      <c r="Q165" s="190"/>
      <c r="R165" s="172"/>
      <c r="S165" s="172"/>
      <c r="T165" s="172"/>
      <c r="U165" s="172"/>
      <c r="V165" s="172">
        <v>355.4</v>
      </c>
      <c r="W165" s="172">
        <v>55.8</v>
      </c>
      <c r="X165" s="172">
        <f>2.7+3.2+9.1+16.4+11.9+1.4+2.7+3.1+8.9+12+1.4+4.9+11.1+2.7+3.3+9.3+11.9+1.4</f>
        <v>117.40000000000002</v>
      </c>
      <c r="Y165" s="198">
        <f t="shared" si="70"/>
        <v>126.24000000000001</v>
      </c>
      <c r="Z165" s="198">
        <f t="shared" si="67"/>
        <v>46.96000000000001</v>
      </c>
      <c r="AA165" s="190"/>
      <c r="AB165" s="205">
        <v>72</v>
      </c>
    </row>
    <row r="166" spans="1:28" ht="12.75">
      <c r="A166" s="165">
        <f t="shared" si="68"/>
        <v>129</v>
      </c>
      <c r="B166" s="48">
        <v>1991</v>
      </c>
      <c r="C166" s="48" t="s">
        <v>50</v>
      </c>
      <c r="D166" s="167" t="s">
        <v>166</v>
      </c>
      <c r="E166" s="166" t="s">
        <v>167</v>
      </c>
      <c r="F166" s="170" t="s">
        <v>39</v>
      </c>
      <c r="G166" s="166">
        <v>3</v>
      </c>
      <c r="H166" s="166">
        <v>9</v>
      </c>
      <c r="I166" s="170">
        <v>1</v>
      </c>
      <c r="J166" s="166">
        <v>1</v>
      </c>
      <c r="K166" s="166"/>
      <c r="L166" s="170">
        <v>108</v>
      </c>
      <c r="M166" s="170">
        <v>264</v>
      </c>
      <c r="N166" s="175">
        <f t="shared" si="65"/>
        <v>6453.699999999999</v>
      </c>
      <c r="O166" s="182">
        <v>4829.9</v>
      </c>
      <c r="P166" s="183">
        <f>2727.7-0.5-0.1-0.2-0.2+0.1-0.5</f>
        <v>2726.3</v>
      </c>
      <c r="Q166" s="190"/>
      <c r="R166" s="172"/>
      <c r="S166" s="172"/>
      <c r="T166" s="172"/>
      <c r="U166" s="172">
        <v>218</v>
      </c>
      <c r="V166" s="172">
        <v>137.4</v>
      </c>
      <c r="W166" s="172">
        <v>1268.4</v>
      </c>
      <c r="X166" s="172">
        <f t="shared" si="69"/>
        <v>178.62</v>
      </c>
      <c r="Y166" s="198">
        <f aca="true" t="shared" si="72" ref="Y166:Y168">X166/H166*4+W166/H166*4</f>
        <v>643.12</v>
      </c>
      <c r="Z166" s="198">
        <f t="shared" si="67"/>
        <v>803.9</v>
      </c>
      <c r="AA166" s="190"/>
      <c r="AB166" s="205">
        <v>72.1</v>
      </c>
    </row>
    <row r="167" spans="1:28" ht="12.75">
      <c r="A167" s="165">
        <f t="shared" si="68"/>
        <v>130</v>
      </c>
      <c r="B167" s="48">
        <v>1992</v>
      </c>
      <c r="C167" s="48" t="s">
        <v>50</v>
      </c>
      <c r="D167" s="167" t="s">
        <v>166</v>
      </c>
      <c r="E167" s="166" t="s">
        <v>168</v>
      </c>
      <c r="F167" s="170" t="s">
        <v>39</v>
      </c>
      <c r="G167" s="166">
        <v>3</v>
      </c>
      <c r="H167" s="166">
        <v>9</v>
      </c>
      <c r="I167" s="170">
        <v>1</v>
      </c>
      <c r="J167" s="166">
        <v>1</v>
      </c>
      <c r="K167" s="166"/>
      <c r="L167" s="170">
        <v>108</v>
      </c>
      <c r="M167" s="170">
        <v>255</v>
      </c>
      <c r="N167" s="175">
        <f t="shared" si="65"/>
        <v>6171.3</v>
      </c>
      <c r="O167" s="182">
        <v>4552.1</v>
      </c>
      <c r="P167" s="183">
        <f>2709.9-90.4-49.9-0.2-0.1+0.2</f>
        <v>2569.5</v>
      </c>
      <c r="Q167" s="190"/>
      <c r="R167" s="172"/>
      <c r="S167" s="172">
        <v>307</v>
      </c>
      <c r="T167" s="172">
        <f>90.4+25.1+24.8</f>
        <v>140.3</v>
      </c>
      <c r="U167" s="172"/>
      <c r="V167" s="172">
        <v>137.7</v>
      </c>
      <c r="W167" s="172">
        <v>1174.5</v>
      </c>
      <c r="X167" s="172">
        <f t="shared" si="69"/>
        <v>179.01</v>
      </c>
      <c r="Y167" s="198">
        <f t="shared" si="72"/>
        <v>601.56</v>
      </c>
      <c r="Z167" s="198">
        <f t="shared" si="67"/>
        <v>751.95</v>
      </c>
      <c r="AA167" s="190"/>
      <c r="AB167" s="205">
        <v>64.8</v>
      </c>
    </row>
    <row r="168" spans="1:28" ht="12.75">
      <c r="A168" s="165">
        <f t="shared" si="68"/>
        <v>131</v>
      </c>
      <c r="B168" s="48">
        <v>1995</v>
      </c>
      <c r="C168" s="48" t="s">
        <v>50</v>
      </c>
      <c r="D168" s="167" t="s">
        <v>166</v>
      </c>
      <c r="E168" s="166">
        <v>94</v>
      </c>
      <c r="F168" s="170" t="s">
        <v>39</v>
      </c>
      <c r="G168" s="166">
        <v>3</v>
      </c>
      <c r="H168" s="166">
        <v>9</v>
      </c>
      <c r="I168" s="170">
        <v>1</v>
      </c>
      <c r="J168" s="166">
        <v>1</v>
      </c>
      <c r="K168" s="166"/>
      <c r="L168" s="170">
        <f>108</f>
        <v>108</v>
      </c>
      <c r="M168" s="170">
        <v>262</v>
      </c>
      <c r="N168" s="175">
        <f t="shared" si="65"/>
        <v>6545.5</v>
      </c>
      <c r="O168" s="182">
        <v>4656.8</v>
      </c>
      <c r="P168" s="183">
        <f>2631.7-0.7-0.6-0.9-0.5-0.8-0.7-0.7-0.6-0.8-0.4-0.6-0.8-0.7-1.4-0.6-0.5</f>
        <v>2620.4</v>
      </c>
      <c r="Q168" s="190"/>
      <c r="R168" s="172"/>
      <c r="S168" s="172">
        <v>348.5</v>
      </c>
      <c r="T168" s="172">
        <f>111.8+10.1-10</f>
        <v>111.89999999999999</v>
      </c>
      <c r="U168" s="172"/>
      <c r="V168" s="172">
        <v>138.8</v>
      </c>
      <c r="W168" s="172">
        <v>1401.4</v>
      </c>
      <c r="X168" s="172">
        <f t="shared" si="69"/>
        <v>180.44000000000003</v>
      </c>
      <c r="Y168" s="198">
        <f t="shared" si="72"/>
        <v>703.04</v>
      </c>
      <c r="Z168" s="198">
        <f t="shared" si="67"/>
        <v>878.8000000000002</v>
      </c>
      <c r="AA168" s="190"/>
      <c r="AB168" s="205">
        <v>75.6</v>
      </c>
    </row>
    <row r="169" spans="1:28" ht="12.75">
      <c r="A169" s="165">
        <f t="shared" si="68"/>
        <v>132</v>
      </c>
      <c r="B169" s="48">
        <v>1991</v>
      </c>
      <c r="C169" s="48" t="s">
        <v>50</v>
      </c>
      <c r="D169" s="167" t="s">
        <v>166</v>
      </c>
      <c r="E169" s="166" t="s">
        <v>169</v>
      </c>
      <c r="F169" s="170" t="s">
        <v>39</v>
      </c>
      <c r="G169" s="170">
        <v>8</v>
      </c>
      <c r="H169" s="170">
        <v>5</v>
      </c>
      <c r="I169" s="170">
        <v>1</v>
      </c>
      <c r="J169" s="170">
        <v>3</v>
      </c>
      <c r="K169" s="170"/>
      <c r="L169" s="170">
        <v>45</v>
      </c>
      <c r="M169" s="170">
        <v>123</v>
      </c>
      <c r="N169" s="175">
        <f t="shared" si="65"/>
        <v>2463.8999999999996</v>
      </c>
      <c r="O169" s="176">
        <f>2220.2-0.5</f>
        <v>2219.7</v>
      </c>
      <c r="P169" s="177">
        <f>1268-0.4</f>
        <v>1267.6</v>
      </c>
      <c r="Q169" s="190"/>
      <c r="R169" s="172"/>
      <c r="S169" s="172"/>
      <c r="T169" s="172"/>
      <c r="U169" s="172"/>
      <c r="V169" s="172">
        <v>211.2</v>
      </c>
      <c r="W169" s="172">
        <v>33</v>
      </c>
      <c r="X169" s="172">
        <f t="shared" si="69"/>
        <v>274.56</v>
      </c>
      <c r="Y169" s="198">
        <f aca="true" t="shared" si="73" ref="Y169:Y172">X169/H169*3+W169</f>
        <v>197.736</v>
      </c>
      <c r="Z169" s="198">
        <f t="shared" si="67"/>
        <v>109.82400000000001</v>
      </c>
      <c r="AA169" s="190"/>
      <c r="AB169" s="205">
        <v>43.2</v>
      </c>
    </row>
    <row r="170" spans="1:28" ht="12.75">
      <c r="A170" s="165">
        <f t="shared" si="68"/>
        <v>133</v>
      </c>
      <c r="B170" s="48">
        <v>1991</v>
      </c>
      <c r="C170" s="48" t="s">
        <v>50</v>
      </c>
      <c r="D170" s="167" t="s">
        <v>166</v>
      </c>
      <c r="E170" s="166" t="s">
        <v>170</v>
      </c>
      <c r="F170" s="170" t="s">
        <v>39</v>
      </c>
      <c r="G170" s="170">
        <v>8</v>
      </c>
      <c r="H170" s="170">
        <v>5</v>
      </c>
      <c r="I170" s="170">
        <v>1</v>
      </c>
      <c r="J170" s="170">
        <v>6</v>
      </c>
      <c r="K170" s="170"/>
      <c r="L170" s="170">
        <v>89</v>
      </c>
      <c r="M170" s="170">
        <v>250</v>
      </c>
      <c r="N170" s="175">
        <f t="shared" si="65"/>
        <v>4943.3</v>
      </c>
      <c r="O170" s="182">
        <v>4445.4</v>
      </c>
      <c r="P170" s="183">
        <f>2559.7-0.1</f>
        <v>2559.6</v>
      </c>
      <c r="Q170" s="190"/>
      <c r="R170" s="172"/>
      <c r="S170" s="172"/>
      <c r="T170" s="172"/>
      <c r="U170" s="172"/>
      <c r="V170" s="172">
        <v>429.1</v>
      </c>
      <c r="W170" s="172">
        <v>68.8</v>
      </c>
      <c r="X170" s="172">
        <f t="shared" si="69"/>
        <v>557.83</v>
      </c>
      <c r="Y170" s="198">
        <f t="shared" si="73"/>
        <v>403.498</v>
      </c>
      <c r="Z170" s="198">
        <f t="shared" si="67"/>
        <v>223.132</v>
      </c>
      <c r="AA170" s="190"/>
      <c r="AB170" s="205">
        <v>86.4</v>
      </c>
    </row>
    <row r="171" spans="1:28" ht="12.75">
      <c r="A171" s="165">
        <f t="shared" si="68"/>
        <v>134</v>
      </c>
      <c r="B171" s="48">
        <v>1995</v>
      </c>
      <c r="C171" s="48"/>
      <c r="D171" s="167" t="s">
        <v>171</v>
      </c>
      <c r="E171" s="166">
        <v>26</v>
      </c>
      <c r="F171" s="170" t="s">
        <v>39</v>
      </c>
      <c r="G171" s="170">
        <v>1</v>
      </c>
      <c r="H171" s="170">
        <v>5</v>
      </c>
      <c r="I171" s="170">
        <v>1</v>
      </c>
      <c r="J171" s="170">
        <v>3</v>
      </c>
      <c r="K171" s="170"/>
      <c r="L171" s="170">
        <v>59</v>
      </c>
      <c r="M171" s="170">
        <v>167</v>
      </c>
      <c r="N171" s="175">
        <f t="shared" si="65"/>
        <v>4765.8</v>
      </c>
      <c r="O171" s="182">
        <v>4135.6</v>
      </c>
      <c r="P171" s="183">
        <v>3529.8</v>
      </c>
      <c r="Q171" s="190"/>
      <c r="R171" s="172"/>
      <c r="S171" s="172"/>
      <c r="T171" s="172"/>
      <c r="U171" s="172"/>
      <c r="V171" s="172">
        <v>329</v>
      </c>
      <c r="W171" s="172">
        <v>301.2</v>
      </c>
      <c r="X171" s="172">
        <f t="shared" si="69"/>
        <v>427.7</v>
      </c>
      <c r="Y171" s="198">
        <f t="shared" si="73"/>
        <v>557.8199999999999</v>
      </c>
      <c r="Z171" s="198">
        <f t="shared" si="67"/>
        <v>171.08000000000004</v>
      </c>
      <c r="AA171" s="198"/>
      <c r="AB171" s="226"/>
    </row>
    <row r="172" spans="1:28" ht="12.75">
      <c r="A172" s="165">
        <f t="shared" si="68"/>
        <v>135</v>
      </c>
      <c r="B172" s="48">
        <v>1994</v>
      </c>
      <c r="C172" s="48"/>
      <c r="D172" s="167" t="s">
        <v>171</v>
      </c>
      <c r="E172" s="166">
        <v>30</v>
      </c>
      <c r="F172" s="170" t="s">
        <v>39</v>
      </c>
      <c r="G172" s="170">
        <v>8</v>
      </c>
      <c r="H172" s="170">
        <v>5</v>
      </c>
      <c r="I172" s="170">
        <v>1</v>
      </c>
      <c r="J172" s="170">
        <v>4</v>
      </c>
      <c r="K172" s="170"/>
      <c r="L172" s="170">
        <v>60</v>
      </c>
      <c r="M172" s="170">
        <v>145</v>
      </c>
      <c r="N172" s="175">
        <f t="shared" si="65"/>
        <v>3298.4</v>
      </c>
      <c r="O172" s="182">
        <v>2971</v>
      </c>
      <c r="P172" s="183">
        <v>1702.4</v>
      </c>
      <c r="Q172" s="190"/>
      <c r="R172" s="172"/>
      <c r="S172" s="172"/>
      <c r="T172" s="172"/>
      <c r="U172" s="172"/>
      <c r="V172" s="172">
        <v>283</v>
      </c>
      <c r="W172" s="172">
        <v>44.4</v>
      </c>
      <c r="X172" s="172">
        <f t="shared" si="69"/>
        <v>367.90000000000003</v>
      </c>
      <c r="Y172" s="198">
        <f t="shared" si="73"/>
        <v>265.14000000000004</v>
      </c>
      <c r="Z172" s="198">
        <f t="shared" si="67"/>
        <v>147.15999999999997</v>
      </c>
      <c r="AA172" s="198"/>
      <c r="AB172" s="226"/>
    </row>
    <row r="173" spans="1:28" ht="12.75">
      <c r="A173" s="168"/>
      <c r="B173" s="49"/>
      <c r="C173" s="49"/>
      <c r="D173" s="169" t="s">
        <v>154</v>
      </c>
      <c r="E173" s="166"/>
      <c r="F173" s="166"/>
      <c r="G173" s="166"/>
      <c r="H173" s="166"/>
      <c r="I173" s="173">
        <f>SUM(I149:I172)</f>
        <v>24</v>
      </c>
      <c r="J173" s="173">
        <f>SUM(J149:J172)</f>
        <v>89</v>
      </c>
      <c r="K173" s="173">
        <f>SUM(K149:K170)</f>
        <v>0</v>
      </c>
      <c r="L173" s="173">
        <f aca="true" t="shared" si="74" ref="L173:AB173">SUM(L149:L172)</f>
        <v>1559</v>
      </c>
      <c r="M173" s="173">
        <f t="shared" si="74"/>
        <v>4702</v>
      </c>
      <c r="N173" s="186">
        <f t="shared" si="74"/>
        <v>94152.4</v>
      </c>
      <c r="O173" s="197">
        <f t="shared" si="74"/>
        <v>80917.8</v>
      </c>
      <c r="P173" s="187">
        <f t="shared" si="74"/>
        <v>48641.100000000006</v>
      </c>
      <c r="Q173" s="196">
        <f t="shared" si="74"/>
        <v>64.7</v>
      </c>
      <c r="R173" s="196">
        <f t="shared" si="74"/>
        <v>41.5</v>
      </c>
      <c r="S173" s="196">
        <f t="shared" si="74"/>
        <v>873</v>
      </c>
      <c r="T173" s="196">
        <f t="shared" si="74"/>
        <v>327.8</v>
      </c>
      <c r="U173" s="196">
        <f t="shared" si="74"/>
        <v>322.1</v>
      </c>
      <c r="V173" s="196">
        <f t="shared" si="74"/>
        <v>6675.099999999999</v>
      </c>
      <c r="W173" s="196">
        <f t="shared" si="74"/>
        <v>5299.699999999999</v>
      </c>
      <c r="X173" s="196">
        <f t="shared" si="74"/>
        <v>8333.01</v>
      </c>
      <c r="Y173" s="196">
        <f t="shared" si="74"/>
        <v>7950.868999999998</v>
      </c>
      <c r="Z173" s="196">
        <f t="shared" si="74"/>
        <v>5681.840999999999</v>
      </c>
      <c r="AA173" s="196">
        <f t="shared" si="74"/>
        <v>0</v>
      </c>
      <c r="AB173" s="227">
        <f t="shared" si="74"/>
        <v>1448.6</v>
      </c>
    </row>
    <row r="174" spans="1:28" ht="12.75">
      <c r="A174" s="218">
        <f>A173+1</f>
        <v>1</v>
      </c>
      <c r="B174" s="48"/>
      <c r="C174" s="48"/>
      <c r="D174" s="166" t="s">
        <v>172</v>
      </c>
      <c r="E174" s="166"/>
      <c r="F174" s="170"/>
      <c r="G174" s="170"/>
      <c r="H174" s="170"/>
      <c r="I174" s="170"/>
      <c r="J174" s="170"/>
      <c r="K174" s="170"/>
      <c r="L174" s="172"/>
      <c r="M174" s="48"/>
      <c r="N174" s="175"/>
      <c r="O174" s="176"/>
      <c r="P174" s="177"/>
      <c r="Q174" s="190"/>
      <c r="R174" s="172"/>
      <c r="S174" s="172"/>
      <c r="T174" s="172"/>
      <c r="U174" s="172"/>
      <c r="V174" s="172"/>
      <c r="W174" s="172"/>
      <c r="X174" s="172"/>
      <c r="Y174" s="228"/>
      <c r="Z174" s="228"/>
      <c r="AA174" s="215"/>
      <c r="AB174" s="216"/>
    </row>
    <row r="175" spans="1:28" ht="12.75">
      <c r="A175" s="165">
        <v>136</v>
      </c>
      <c r="B175" s="48">
        <v>1992</v>
      </c>
      <c r="C175" s="48" t="s">
        <v>173</v>
      </c>
      <c r="D175" s="167" t="s">
        <v>174</v>
      </c>
      <c r="E175" s="166">
        <v>3</v>
      </c>
      <c r="F175" s="170" t="s">
        <v>39</v>
      </c>
      <c r="G175" s="170">
        <v>8</v>
      </c>
      <c r="H175" s="170">
        <v>5</v>
      </c>
      <c r="I175" s="170">
        <v>1</v>
      </c>
      <c r="J175" s="170">
        <v>5</v>
      </c>
      <c r="K175" s="170"/>
      <c r="L175" s="48">
        <v>50</v>
      </c>
      <c r="M175" s="170">
        <v>206</v>
      </c>
      <c r="N175" s="175">
        <f aca="true" t="shared" si="75" ref="N175:N220">O175+Q175+S175+U175+V175+W175</f>
        <v>3957.5</v>
      </c>
      <c r="O175" s="176">
        <v>3551.8</v>
      </c>
      <c r="P175" s="183">
        <f>2298.4-0.3</f>
        <v>2298.1</v>
      </c>
      <c r="Q175" s="190"/>
      <c r="R175" s="172"/>
      <c r="S175" s="172"/>
      <c r="T175" s="172"/>
      <c r="U175" s="172"/>
      <c r="V175" s="172">
        <v>351.7</v>
      </c>
      <c r="W175" s="172">
        <v>54</v>
      </c>
      <c r="X175" s="172">
        <f>V175*1.3</f>
        <v>457.21</v>
      </c>
      <c r="Y175" s="198">
        <f aca="true" t="shared" si="76" ref="Y175:Y196">X175/H175*3+W175</f>
        <v>328.32599999999996</v>
      </c>
      <c r="Z175" s="198">
        <f aca="true" t="shared" si="77" ref="Z175:Z178">W175+X175-Y175</f>
        <v>182.88400000000001</v>
      </c>
      <c r="AA175" s="217"/>
      <c r="AB175" s="225">
        <v>64.8</v>
      </c>
    </row>
    <row r="176" spans="1:28" ht="12.75">
      <c r="A176" s="165">
        <f aca="true" t="shared" si="78" ref="A176:A220">A175+1</f>
        <v>137</v>
      </c>
      <c r="B176" s="48">
        <v>1992</v>
      </c>
      <c r="C176" s="48" t="s">
        <v>173</v>
      </c>
      <c r="D176" s="167" t="s">
        <v>174</v>
      </c>
      <c r="E176" s="166" t="s">
        <v>157</v>
      </c>
      <c r="F176" s="170" t="s">
        <v>39</v>
      </c>
      <c r="G176" s="170">
        <v>8</v>
      </c>
      <c r="H176" s="170">
        <v>5</v>
      </c>
      <c r="I176" s="170">
        <v>1</v>
      </c>
      <c r="J176" s="170">
        <v>4</v>
      </c>
      <c r="K176" s="170"/>
      <c r="L176" s="48">
        <v>60</v>
      </c>
      <c r="M176" s="170">
        <v>161</v>
      </c>
      <c r="N176" s="175">
        <f t="shared" si="75"/>
        <v>3287.0000000000005</v>
      </c>
      <c r="O176" s="176">
        <f>2962+0.3</f>
        <v>2962.3</v>
      </c>
      <c r="P176" s="183">
        <f>1698.7+0.1</f>
        <v>1698.8</v>
      </c>
      <c r="Q176" s="190"/>
      <c r="R176" s="172"/>
      <c r="S176" s="172"/>
      <c r="T176" s="172"/>
      <c r="U176" s="172"/>
      <c r="V176" s="172">
        <v>280.4</v>
      </c>
      <c r="W176" s="172">
        <v>44.3</v>
      </c>
      <c r="X176" s="172">
        <f aca="true" t="shared" si="79" ref="X176:X220">V176*1.3</f>
        <v>364.52</v>
      </c>
      <c r="Y176" s="198">
        <f t="shared" si="76"/>
        <v>263.012</v>
      </c>
      <c r="Z176" s="198">
        <f t="shared" si="77"/>
        <v>145.808</v>
      </c>
      <c r="AA176" s="190"/>
      <c r="AB176" s="205">
        <v>56.2</v>
      </c>
    </row>
    <row r="177" spans="1:28" ht="12.75">
      <c r="A177" s="165">
        <f t="shared" si="78"/>
        <v>138</v>
      </c>
      <c r="B177" s="48">
        <v>1992</v>
      </c>
      <c r="C177" s="48" t="s">
        <v>175</v>
      </c>
      <c r="D177" s="167" t="s">
        <v>174</v>
      </c>
      <c r="E177" s="166" t="s">
        <v>176</v>
      </c>
      <c r="F177" s="170" t="s">
        <v>39</v>
      </c>
      <c r="G177" s="170">
        <v>8</v>
      </c>
      <c r="H177" s="170">
        <v>5</v>
      </c>
      <c r="I177" s="170">
        <v>1</v>
      </c>
      <c r="J177" s="170">
        <v>4</v>
      </c>
      <c r="K177" s="170"/>
      <c r="L177" s="48">
        <v>60</v>
      </c>
      <c r="M177" s="170">
        <v>171</v>
      </c>
      <c r="N177" s="175">
        <f t="shared" si="75"/>
        <v>3300.5000000000005</v>
      </c>
      <c r="O177" s="176">
        <f>2977.6-0.2-1</f>
        <v>2976.4</v>
      </c>
      <c r="P177" s="183">
        <f>1708.6-0-0.5</f>
        <v>1708.1</v>
      </c>
      <c r="Q177" s="190"/>
      <c r="R177" s="172"/>
      <c r="S177" s="172"/>
      <c r="T177" s="172"/>
      <c r="U177" s="172"/>
      <c r="V177" s="172">
        <v>279.8</v>
      </c>
      <c r="W177" s="172">
        <v>44.3</v>
      </c>
      <c r="X177" s="172">
        <f t="shared" si="79"/>
        <v>363.74</v>
      </c>
      <c r="Y177" s="198">
        <f t="shared" si="76"/>
        <v>262.54400000000004</v>
      </c>
      <c r="Z177" s="198">
        <f t="shared" si="77"/>
        <v>145.49599999999998</v>
      </c>
      <c r="AA177" s="190"/>
      <c r="AB177" s="205">
        <v>70.6</v>
      </c>
    </row>
    <row r="178" spans="1:28" ht="12.75">
      <c r="A178" s="165">
        <f t="shared" si="78"/>
        <v>139</v>
      </c>
      <c r="B178" s="48">
        <v>1992</v>
      </c>
      <c r="C178" s="48" t="s">
        <v>50</v>
      </c>
      <c r="D178" s="167" t="s">
        <v>174</v>
      </c>
      <c r="E178" s="166" t="s">
        <v>177</v>
      </c>
      <c r="F178" s="170" t="s">
        <v>39</v>
      </c>
      <c r="G178" s="166">
        <v>9</v>
      </c>
      <c r="H178" s="170">
        <v>5</v>
      </c>
      <c r="I178" s="170">
        <v>1</v>
      </c>
      <c r="J178" s="170">
        <v>4</v>
      </c>
      <c r="K178" s="170"/>
      <c r="L178" s="48">
        <v>60</v>
      </c>
      <c r="M178" s="170">
        <v>133</v>
      </c>
      <c r="N178" s="175">
        <f t="shared" si="75"/>
        <v>3233.7</v>
      </c>
      <c r="O178" s="176">
        <v>2964.7</v>
      </c>
      <c r="P178" s="183">
        <f>1814.5-0.9-1-0.6-0.4-0.4-0.3+0.2</f>
        <v>1811.1</v>
      </c>
      <c r="Q178" s="190"/>
      <c r="R178" s="172"/>
      <c r="S178" s="172"/>
      <c r="T178" s="172"/>
      <c r="U178" s="172"/>
      <c r="V178" s="172">
        <v>269</v>
      </c>
      <c r="W178" s="172"/>
      <c r="X178" s="172">
        <f t="shared" si="79"/>
        <v>349.7</v>
      </c>
      <c r="Y178" s="198">
        <f t="shared" si="76"/>
        <v>209.82</v>
      </c>
      <c r="Z178" s="198">
        <f t="shared" si="77"/>
        <v>139.88</v>
      </c>
      <c r="AA178" s="190"/>
      <c r="AB178" s="205">
        <v>37.2</v>
      </c>
    </row>
    <row r="179" spans="1:28" ht="12.75">
      <c r="A179" s="165">
        <f t="shared" si="78"/>
        <v>140</v>
      </c>
      <c r="B179" s="48">
        <v>1992</v>
      </c>
      <c r="C179" s="48" t="s">
        <v>173</v>
      </c>
      <c r="D179" s="167" t="s">
        <v>174</v>
      </c>
      <c r="E179" s="166">
        <v>5</v>
      </c>
      <c r="F179" s="170" t="s">
        <v>39</v>
      </c>
      <c r="G179" s="170">
        <v>8</v>
      </c>
      <c r="H179" s="170">
        <v>5</v>
      </c>
      <c r="I179" s="170">
        <v>1</v>
      </c>
      <c r="J179" s="170">
        <v>3</v>
      </c>
      <c r="K179" s="170"/>
      <c r="L179" s="48">
        <v>29</v>
      </c>
      <c r="M179" s="170">
        <v>109</v>
      </c>
      <c r="N179" s="175">
        <f>O179+Q179+S179+U183+V179+W179</f>
        <v>2540.6</v>
      </c>
      <c r="O179" s="176">
        <v>2060.1</v>
      </c>
      <c r="P179" s="183">
        <f>1329.9-0.2+3.3</f>
        <v>1333</v>
      </c>
      <c r="Q179" s="190"/>
      <c r="R179" s="172"/>
      <c r="S179" s="172">
        <v>78.1</v>
      </c>
      <c r="T179" s="172">
        <v>52.1</v>
      </c>
      <c r="U179" s="7"/>
      <c r="V179" s="172">
        <v>210.9</v>
      </c>
      <c r="W179" s="172">
        <v>33.8</v>
      </c>
      <c r="X179" s="172">
        <f t="shared" si="79"/>
        <v>274.17</v>
      </c>
      <c r="Y179" s="198">
        <f t="shared" si="76"/>
        <v>198.30200000000002</v>
      </c>
      <c r="Z179" s="198">
        <f aca="true" t="shared" si="80" ref="Z179:Z220">W179+X179-Y179</f>
        <v>109.668</v>
      </c>
      <c r="AA179" s="190"/>
      <c r="AB179" s="205">
        <v>42.1</v>
      </c>
    </row>
    <row r="180" spans="1:28" ht="12.75">
      <c r="A180" s="165">
        <f t="shared" si="78"/>
        <v>141</v>
      </c>
      <c r="B180" s="48">
        <v>1991</v>
      </c>
      <c r="C180" s="48" t="s">
        <v>64</v>
      </c>
      <c r="D180" s="167" t="s">
        <v>174</v>
      </c>
      <c r="E180" s="166" t="s">
        <v>178</v>
      </c>
      <c r="F180" s="170" t="s">
        <v>39</v>
      </c>
      <c r="G180" s="170">
        <v>8</v>
      </c>
      <c r="H180" s="170">
        <v>5</v>
      </c>
      <c r="I180" s="170">
        <v>1</v>
      </c>
      <c r="J180" s="170">
        <v>3</v>
      </c>
      <c r="K180" s="170"/>
      <c r="L180" s="48">
        <v>45</v>
      </c>
      <c r="M180" s="170">
        <v>114</v>
      </c>
      <c r="N180" s="175">
        <f t="shared" si="75"/>
        <v>2484.2000000000003</v>
      </c>
      <c r="O180" s="176">
        <v>2237.5</v>
      </c>
      <c r="P180" s="183">
        <v>1278.6</v>
      </c>
      <c r="Q180" s="190"/>
      <c r="R180" s="172"/>
      <c r="S180" s="172"/>
      <c r="T180" s="172"/>
      <c r="U180" s="172"/>
      <c r="V180" s="172">
        <v>213.3</v>
      </c>
      <c r="W180" s="172">
        <v>33.4</v>
      </c>
      <c r="X180" s="172">
        <f t="shared" si="79"/>
        <v>277.29</v>
      </c>
      <c r="Y180" s="198">
        <f t="shared" si="76"/>
        <v>199.77400000000003</v>
      </c>
      <c r="Z180" s="198">
        <f t="shared" si="80"/>
        <v>110.91599999999997</v>
      </c>
      <c r="AA180" s="190"/>
      <c r="AB180" s="205">
        <v>43.2</v>
      </c>
    </row>
    <row r="181" spans="1:28" ht="12.75">
      <c r="A181" s="165">
        <f t="shared" si="78"/>
        <v>142</v>
      </c>
      <c r="B181" s="48">
        <v>1992</v>
      </c>
      <c r="C181" s="48" t="s">
        <v>64</v>
      </c>
      <c r="D181" s="167" t="s">
        <v>174</v>
      </c>
      <c r="E181" s="166" t="s">
        <v>179</v>
      </c>
      <c r="F181" s="170" t="s">
        <v>39</v>
      </c>
      <c r="G181" s="170">
        <v>8</v>
      </c>
      <c r="H181" s="170">
        <v>5</v>
      </c>
      <c r="I181" s="170">
        <v>1</v>
      </c>
      <c r="J181" s="170">
        <v>3</v>
      </c>
      <c r="K181" s="170"/>
      <c r="L181" s="48">
        <v>45</v>
      </c>
      <c r="M181" s="170">
        <v>123</v>
      </c>
      <c r="N181" s="175">
        <f t="shared" si="75"/>
        <v>2473.2</v>
      </c>
      <c r="O181" s="176">
        <f>2227.7-0.4</f>
        <v>2227.2999999999997</v>
      </c>
      <c r="P181" s="183">
        <f>1274.5-0.1</f>
        <v>1274.4</v>
      </c>
      <c r="Q181" s="190"/>
      <c r="R181" s="172"/>
      <c r="S181" s="172"/>
      <c r="T181" s="172"/>
      <c r="U181" s="172"/>
      <c r="V181" s="172">
        <v>212.1</v>
      </c>
      <c r="W181" s="172">
        <v>33.8</v>
      </c>
      <c r="X181" s="172">
        <f t="shared" si="79"/>
        <v>275.73</v>
      </c>
      <c r="Y181" s="198">
        <f t="shared" si="76"/>
        <v>199.238</v>
      </c>
      <c r="Z181" s="198">
        <f t="shared" si="80"/>
        <v>110.29200000000003</v>
      </c>
      <c r="AA181" s="190"/>
      <c r="AB181" s="205">
        <v>43.2</v>
      </c>
    </row>
    <row r="182" spans="1:28" ht="12.75">
      <c r="A182" s="165">
        <f t="shared" si="78"/>
        <v>143</v>
      </c>
      <c r="B182" s="48">
        <v>1992</v>
      </c>
      <c r="C182" s="48" t="s">
        <v>50</v>
      </c>
      <c r="D182" s="167" t="s">
        <v>174</v>
      </c>
      <c r="E182" s="166">
        <v>7</v>
      </c>
      <c r="F182" s="170" t="s">
        <v>39</v>
      </c>
      <c r="G182" s="170">
        <v>8</v>
      </c>
      <c r="H182" s="170">
        <v>5</v>
      </c>
      <c r="I182" s="170">
        <v>1</v>
      </c>
      <c r="J182" s="170">
        <v>4</v>
      </c>
      <c r="K182" s="170"/>
      <c r="L182" s="48">
        <v>60</v>
      </c>
      <c r="M182" s="170">
        <v>149</v>
      </c>
      <c r="N182" s="175">
        <f t="shared" si="75"/>
        <v>3286.0000000000005</v>
      </c>
      <c r="O182" s="176">
        <f>2962.4-0.2-0.2</f>
        <v>2962.0000000000005</v>
      </c>
      <c r="P182" s="177">
        <f>1697.7-0.1-0.1</f>
        <v>1697.5000000000002</v>
      </c>
      <c r="Q182" s="190"/>
      <c r="R182" s="172"/>
      <c r="S182" s="172"/>
      <c r="T182" s="172"/>
      <c r="U182" s="172"/>
      <c r="V182" s="172">
        <v>279.8</v>
      </c>
      <c r="W182" s="172">
        <v>44.2</v>
      </c>
      <c r="X182" s="172">
        <f t="shared" si="79"/>
        <v>363.74</v>
      </c>
      <c r="Y182" s="198">
        <f t="shared" si="76"/>
        <v>262.444</v>
      </c>
      <c r="Z182" s="198">
        <f t="shared" si="80"/>
        <v>145.49599999999998</v>
      </c>
      <c r="AA182" s="190"/>
      <c r="AB182" s="205">
        <v>60.8</v>
      </c>
    </row>
    <row r="183" spans="1:28" ht="12.75">
      <c r="A183" s="165">
        <f t="shared" si="78"/>
        <v>144</v>
      </c>
      <c r="B183" s="48">
        <v>1992</v>
      </c>
      <c r="C183" s="48" t="s">
        <v>173</v>
      </c>
      <c r="D183" s="167" t="s">
        <v>174</v>
      </c>
      <c r="E183" s="166">
        <v>9</v>
      </c>
      <c r="F183" s="170" t="s">
        <v>39</v>
      </c>
      <c r="G183" s="170">
        <v>8</v>
      </c>
      <c r="H183" s="170">
        <v>5</v>
      </c>
      <c r="I183" s="170">
        <v>1</v>
      </c>
      <c r="J183" s="170">
        <v>6</v>
      </c>
      <c r="K183" s="170"/>
      <c r="L183" s="48">
        <v>58</v>
      </c>
      <c r="M183" s="170">
        <v>209</v>
      </c>
      <c r="N183" s="175">
        <f>O183+Q183+S183+V183+W183+U183</f>
        <v>4866</v>
      </c>
      <c r="O183" s="176">
        <v>4138.8</v>
      </c>
      <c r="P183" s="183">
        <f>2654.5-0.5-0.4-0.2+3.8</f>
        <v>2657.2000000000003</v>
      </c>
      <c r="Q183" s="190"/>
      <c r="R183" s="172"/>
      <c r="S183" s="172">
        <v>79.1</v>
      </c>
      <c r="T183" s="172"/>
      <c r="U183" s="172">
        <f>78.9+78.8</f>
        <v>157.7</v>
      </c>
      <c r="V183" s="172">
        <v>422.9</v>
      </c>
      <c r="W183" s="172">
        <v>67.5</v>
      </c>
      <c r="X183" s="172">
        <f t="shared" si="79"/>
        <v>549.77</v>
      </c>
      <c r="Y183" s="198">
        <f t="shared" si="76"/>
        <v>397.36199999999997</v>
      </c>
      <c r="Z183" s="198">
        <f t="shared" si="80"/>
        <v>219.90800000000002</v>
      </c>
      <c r="AA183" s="190"/>
      <c r="AB183" s="205">
        <v>84.2</v>
      </c>
    </row>
    <row r="184" spans="1:28" ht="12.75">
      <c r="A184" s="165">
        <f t="shared" si="78"/>
        <v>145</v>
      </c>
      <c r="B184" s="48">
        <v>1991</v>
      </c>
      <c r="C184" s="48" t="s">
        <v>180</v>
      </c>
      <c r="D184" s="167" t="s">
        <v>174</v>
      </c>
      <c r="E184" s="166" t="s">
        <v>181</v>
      </c>
      <c r="F184" s="170" t="s">
        <v>39</v>
      </c>
      <c r="G184" s="170">
        <v>8</v>
      </c>
      <c r="H184" s="170">
        <v>5</v>
      </c>
      <c r="I184" s="170">
        <v>1</v>
      </c>
      <c r="J184" s="170">
        <v>5</v>
      </c>
      <c r="K184" s="170"/>
      <c r="L184" s="48">
        <v>75</v>
      </c>
      <c r="M184" s="170">
        <v>208</v>
      </c>
      <c r="N184" s="175">
        <f t="shared" si="75"/>
        <v>4128.5</v>
      </c>
      <c r="O184" s="176">
        <v>3686.5</v>
      </c>
      <c r="P184" s="183">
        <f>2111.5-0.2-0.1-0.4-0.1+2.8</f>
        <v>2113.5000000000005</v>
      </c>
      <c r="Q184" s="190"/>
      <c r="R184" s="172"/>
      <c r="S184" s="172">
        <v>34.4</v>
      </c>
      <c r="T184" s="172">
        <v>17.5</v>
      </c>
      <c r="U184" s="172"/>
      <c r="V184" s="172">
        <v>353.2</v>
      </c>
      <c r="W184" s="172">
        <v>54.4</v>
      </c>
      <c r="X184" s="172">
        <f t="shared" si="79"/>
        <v>459.16</v>
      </c>
      <c r="Y184" s="198">
        <f t="shared" si="76"/>
        <v>329.896</v>
      </c>
      <c r="Z184" s="198">
        <f t="shared" si="80"/>
        <v>183.66400000000004</v>
      </c>
      <c r="AA184" s="190"/>
      <c r="AB184" s="205">
        <v>70.2</v>
      </c>
    </row>
    <row r="185" spans="1:28" ht="12.75">
      <c r="A185" s="165">
        <f t="shared" si="78"/>
        <v>146</v>
      </c>
      <c r="B185" s="48">
        <v>1991</v>
      </c>
      <c r="C185" s="48" t="s">
        <v>180</v>
      </c>
      <c r="D185" s="167" t="s">
        <v>174</v>
      </c>
      <c r="E185" s="166" t="s">
        <v>182</v>
      </c>
      <c r="F185" s="170" t="s">
        <v>39</v>
      </c>
      <c r="G185" s="170">
        <v>8</v>
      </c>
      <c r="H185" s="170">
        <v>5</v>
      </c>
      <c r="I185" s="170">
        <v>1</v>
      </c>
      <c r="J185" s="170">
        <v>4</v>
      </c>
      <c r="K185" s="170"/>
      <c r="L185" s="48">
        <v>60</v>
      </c>
      <c r="M185" s="170">
        <v>176</v>
      </c>
      <c r="N185" s="175">
        <f t="shared" si="75"/>
        <v>3303.0999999999995</v>
      </c>
      <c r="O185" s="176">
        <v>2978.7</v>
      </c>
      <c r="P185" s="183">
        <f>1711.1-0.1</f>
        <v>1711</v>
      </c>
      <c r="Q185" s="190"/>
      <c r="R185" s="172"/>
      <c r="S185" s="172"/>
      <c r="T185" s="172"/>
      <c r="U185" s="172"/>
      <c r="V185" s="172">
        <v>280.2</v>
      </c>
      <c r="W185" s="172">
        <v>44.2</v>
      </c>
      <c r="X185" s="172">
        <f t="shared" si="79"/>
        <v>364.26</v>
      </c>
      <c r="Y185" s="198">
        <f t="shared" si="76"/>
        <v>262.75600000000003</v>
      </c>
      <c r="Z185" s="198">
        <f t="shared" si="80"/>
        <v>145.70399999999995</v>
      </c>
      <c r="AA185" s="190"/>
      <c r="AB185" s="205">
        <v>67.2</v>
      </c>
    </row>
    <row r="186" spans="1:28" ht="12.75">
      <c r="A186" s="165">
        <f t="shared" si="78"/>
        <v>147</v>
      </c>
      <c r="B186" s="48">
        <v>1991</v>
      </c>
      <c r="C186" s="48" t="s">
        <v>180</v>
      </c>
      <c r="D186" s="167" t="s">
        <v>174</v>
      </c>
      <c r="E186" s="166" t="s">
        <v>183</v>
      </c>
      <c r="F186" s="170" t="s">
        <v>39</v>
      </c>
      <c r="G186" s="170">
        <v>8</v>
      </c>
      <c r="H186" s="170">
        <v>5</v>
      </c>
      <c r="I186" s="170">
        <v>1</v>
      </c>
      <c r="J186" s="170">
        <v>6</v>
      </c>
      <c r="K186" s="170"/>
      <c r="L186" s="48">
        <v>90</v>
      </c>
      <c r="M186" s="170">
        <v>267</v>
      </c>
      <c r="N186" s="175">
        <f t="shared" si="75"/>
        <v>4967.900000000001</v>
      </c>
      <c r="O186" s="176">
        <v>4475.1</v>
      </c>
      <c r="P186" s="183">
        <f>2579.5-0.2-0.3-0.4-0.4-0.2-0.3</f>
        <v>2577.7</v>
      </c>
      <c r="Q186" s="190"/>
      <c r="R186" s="172"/>
      <c r="S186" s="172"/>
      <c r="T186" s="172"/>
      <c r="U186" s="172"/>
      <c r="V186" s="172">
        <v>424.3</v>
      </c>
      <c r="W186" s="172">
        <v>68.5</v>
      </c>
      <c r="X186" s="172">
        <f t="shared" si="79"/>
        <v>551.59</v>
      </c>
      <c r="Y186" s="198">
        <f t="shared" si="76"/>
        <v>399.45400000000006</v>
      </c>
      <c r="Z186" s="198">
        <f t="shared" si="80"/>
        <v>220.63599999999997</v>
      </c>
      <c r="AA186" s="190"/>
      <c r="AB186" s="205">
        <v>49.1</v>
      </c>
    </row>
    <row r="187" spans="1:28" ht="12.75">
      <c r="A187" s="165">
        <f t="shared" si="78"/>
        <v>148</v>
      </c>
      <c r="B187" s="48">
        <v>1991</v>
      </c>
      <c r="C187" s="48" t="s">
        <v>180</v>
      </c>
      <c r="D187" s="167" t="s">
        <v>174</v>
      </c>
      <c r="E187" s="166" t="s">
        <v>184</v>
      </c>
      <c r="F187" s="170" t="s">
        <v>39</v>
      </c>
      <c r="G187" s="170">
        <v>8</v>
      </c>
      <c r="H187" s="170">
        <v>5</v>
      </c>
      <c r="I187" s="170">
        <v>1</v>
      </c>
      <c r="J187" s="170">
        <v>3</v>
      </c>
      <c r="K187" s="170"/>
      <c r="L187" s="48">
        <v>45</v>
      </c>
      <c r="M187" s="170">
        <v>101</v>
      </c>
      <c r="N187" s="175">
        <f t="shared" si="75"/>
        <v>2477.3999999999996</v>
      </c>
      <c r="O187" s="176">
        <f>2234.2+0.1</f>
        <v>2234.2999999999997</v>
      </c>
      <c r="P187" s="183">
        <v>1281.2</v>
      </c>
      <c r="Q187" s="190"/>
      <c r="R187" s="172"/>
      <c r="S187" s="172"/>
      <c r="T187" s="172"/>
      <c r="U187" s="172"/>
      <c r="V187" s="172">
        <v>209.6</v>
      </c>
      <c r="W187" s="172">
        <v>33.5</v>
      </c>
      <c r="X187" s="172">
        <f t="shared" si="79"/>
        <v>272.48</v>
      </c>
      <c r="Y187" s="198">
        <f t="shared" si="76"/>
        <v>196.988</v>
      </c>
      <c r="Z187" s="198">
        <f t="shared" si="80"/>
        <v>108.99200000000002</v>
      </c>
      <c r="AA187" s="190"/>
      <c r="AB187" s="205">
        <v>86.4</v>
      </c>
    </row>
    <row r="188" spans="1:28" ht="15" customHeight="1">
      <c r="A188" s="165">
        <f t="shared" si="78"/>
        <v>149</v>
      </c>
      <c r="B188" s="48">
        <v>1992</v>
      </c>
      <c r="C188" s="48" t="s">
        <v>173</v>
      </c>
      <c r="D188" s="167" t="s">
        <v>174</v>
      </c>
      <c r="E188" s="166">
        <v>13</v>
      </c>
      <c r="F188" s="170" t="s">
        <v>39</v>
      </c>
      <c r="G188" s="170">
        <v>8</v>
      </c>
      <c r="H188" s="170">
        <v>5</v>
      </c>
      <c r="I188" s="170">
        <v>1</v>
      </c>
      <c r="J188" s="170">
        <v>5</v>
      </c>
      <c r="K188" s="170"/>
      <c r="L188" s="48">
        <v>49</v>
      </c>
      <c r="M188" s="170">
        <v>175</v>
      </c>
      <c r="N188" s="175">
        <f t="shared" si="75"/>
        <v>3968.2</v>
      </c>
      <c r="O188" s="176">
        <f>3547.5-78.1</f>
        <v>3469.4</v>
      </c>
      <c r="P188" s="183">
        <f>2246-0.1+0.4</f>
        <v>2246.3</v>
      </c>
      <c r="Q188" s="190"/>
      <c r="R188" s="172"/>
      <c r="S188" s="172">
        <v>78.1</v>
      </c>
      <c r="T188" s="172">
        <v>52.1</v>
      </c>
      <c r="U188" s="172"/>
      <c r="V188" s="172">
        <v>365.6</v>
      </c>
      <c r="W188" s="172">
        <v>55.1</v>
      </c>
      <c r="X188" s="172">
        <f t="shared" si="79"/>
        <v>475.28000000000003</v>
      </c>
      <c r="Y188" s="198">
        <f t="shared" si="76"/>
        <v>340.26800000000003</v>
      </c>
      <c r="Z188" s="198">
        <f t="shared" si="80"/>
        <v>190.11199999999997</v>
      </c>
      <c r="AA188" s="190"/>
      <c r="AB188" s="205">
        <v>86.4</v>
      </c>
    </row>
    <row r="189" spans="1:28" ht="12.75">
      <c r="A189" s="165">
        <f t="shared" si="78"/>
        <v>150</v>
      </c>
      <c r="B189" s="48">
        <v>1991</v>
      </c>
      <c r="C189" s="48" t="s">
        <v>180</v>
      </c>
      <c r="D189" s="167" t="s">
        <v>174</v>
      </c>
      <c r="E189" s="166" t="s">
        <v>95</v>
      </c>
      <c r="F189" s="170" t="s">
        <v>39</v>
      </c>
      <c r="G189" s="170">
        <v>8</v>
      </c>
      <c r="H189" s="170">
        <v>5</v>
      </c>
      <c r="I189" s="170">
        <v>1</v>
      </c>
      <c r="J189" s="170">
        <v>4</v>
      </c>
      <c r="K189" s="170"/>
      <c r="L189" s="48">
        <v>60</v>
      </c>
      <c r="M189" s="170">
        <v>157</v>
      </c>
      <c r="N189" s="175">
        <f t="shared" si="75"/>
        <v>3290.5000000000005</v>
      </c>
      <c r="O189" s="176">
        <v>2965.8</v>
      </c>
      <c r="P189" s="183">
        <f>1710.8+0.1</f>
        <v>1710.8999999999999</v>
      </c>
      <c r="Q189" s="190"/>
      <c r="R189" s="172"/>
      <c r="S189" s="172"/>
      <c r="T189" s="172"/>
      <c r="U189" s="172"/>
      <c r="V189" s="172">
        <v>280.3</v>
      </c>
      <c r="W189" s="172">
        <v>44.4</v>
      </c>
      <c r="X189" s="172">
        <f t="shared" si="79"/>
        <v>364.39000000000004</v>
      </c>
      <c r="Y189" s="198">
        <f t="shared" si="76"/>
        <v>263.03400000000005</v>
      </c>
      <c r="Z189" s="198">
        <f t="shared" si="80"/>
        <v>145.75599999999997</v>
      </c>
      <c r="AA189" s="190"/>
      <c r="AB189" s="205">
        <v>65.5</v>
      </c>
    </row>
    <row r="190" spans="1:28" ht="12.75">
      <c r="A190" s="165">
        <f t="shared" si="78"/>
        <v>151</v>
      </c>
      <c r="B190" s="48">
        <v>1995</v>
      </c>
      <c r="C190" s="48" t="s">
        <v>185</v>
      </c>
      <c r="D190" s="167" t="s">
        <v>174</v>
      </c>
      <c r="E190" s="166" t="s">
        <v>186</v>
      </c>
      <c r="F190" s="170" t="s">
        <v>39</v>
      </c>
      <c r="G190" s="166">
        <v>9</v>
      </c>
      <c r="H190" s="170">
        <v>5</v>
      </c>
      <c r="I190" s="170">
        <v>1</v>
      </c>
      <c r="J190" s="170">
        <v>5</v>
      </c>
      <c r="K190" s="170"/>
      <c r="L190" s="48">
        <v>50</v>
      </c>
      <c r="M190" s="170">
        <v>164</v>
      </c>
      <c r="N190" s="175">
        <f t="shared" si="75"/>
        <v>4070.2999999999997</v>
      </c>
      <c r="O190" s="176">
        <v>3722.6</v>
      </c>
      <c r="P190" s="183">
        <f>2553.3+0.3-0.3</f>
        <v>2553.3</v>
      </c>
      <c r="Q190" s="190"/>
      <c r="R190" s="172"/>
      <c r="S190" s="172"/>
      <c r="T190" s="172"/>
      <c r="U190" s="172"/>
      <c r="V190" s="172">
        <v>347.7</v>
      </c>
      <c r="W190" s="172"/>
      <c r="X190" s="172">
        <f t="shared" si="79"/>
        <v>452.01</v>
      </c>
      <c r="Y190" s="198">
        <f t="shared" si="76"/>
        <v>271.206</v>
      </c>
      <c r="Z190" s="198">
        <f t="shared" si="80"/>
        <v>180.80399999999997</v>
      </c>
      <c r="AA190" s="190"/>
      <c r="AB190" s="205">
        <v>80.7</v>
      </c>
    </row>
    <row r="191" spans="1:28" ht="12.75">
      <c r="A191" s="165">
        <f t="shared" si="78"/>
        <v>152</v>
      </c>
      <c r="B191" s="48">
        <v>1993</v>
      </c>
      <c r="C191" s="48" t="s">
        <v>187</v>
      </c>
      <c r="D191" s="167" t="s">
        <v>174</v>
      </c>
      <c r="E191" s="166">
        <v>17</v>
      </c>
      <c r="F191" s="170" t="s">
        <v>39</v>
      </c>
      <c r="G191" s="170">
        <v>8</v>
      </c>
      <c r="H191" s="170">
        <v>5</v>
      </c>
      <c r="I191" s="170">
        <v>1</v>
      </c>
      <c r="J191" s="170">
        <v>5</v>
      </c>
      <c r="K191" s="170"/>
      <c r="L191" s="48">
        <v>49</v>
      </c>
      <c r="M191" s="170">
        <v>168</v>
      </c>
      <c r="N191" s="175">
        <f t="shared" si="75"/>
        <v>3916.7</v>
      </c>
      <c r="O191" s="176">
        <v>3427.1</v>
      </c>
      <c r="P191" s="183">
        <v>2259.4</v>
      </c>
      <c r="Q191" s="190"/>
      <c r="R191" s="172"/>
      <c r="S191" s="172">
        <v>78.2</v>
      </c>
      <c r="T191" s="172">
        <v>52.8</v>
      </c>
      <c r="U191" s="172"/>
      <c r="V191" s="172">
        <v>355.8</v>
      </c>
      <c r="W191" s="172">
        <v>55.6</v>
      </c>
      <c r="X191" s="172">
        <f t="shared" si="79"/>
        <v>462.54</v>
      </c>
      <c r="Y191" s="198">
        <f t="shared" si="76"/>
        <v>333.124</v>
      </c>
      <c r="Z191" s="198">
        <f t="shared" si="80"/>
        <v>185.01599999999996</v>
      </c>
      <c r="AA191" s="190"/>
      <c r="AB191" s="205">
        <v>70.2</v>
      </c>
    </row>
    <row r="192" spans="1:28" ht="12.75">
      <c r="A192" s="165">
        <f t="shared" si="78"/>
        <v>153</v>
      </c>
      <c r="B192" s="48">
        <v>1993</v>
      </c>
      <c r="C192" s="48" t="s">
        <v>187</v>
      </c>
      <c r="D192" s="167" t="s">
        <v>174</v>
      </c>
      <c r="E192" s="166" t="s">
        <v>188</v>
      </c>
      <c r="F192" s="170" t="s">
        <v>39</v>
      </c>
      <c r="G192" s="170">
        <v>8</v>
      </c>
      <c r="H192" s="170">
        <v>5</v>
      </c>
      <c r="I192" s="170">
        <v>1</v>
      </c>
      <c r="J192" s="170">
        <v>4</v>
      </c>
      <c r="K192" s="170"/>
      <c r="L192" s="48">
        <v>60</v>
      </c>
      <c r="M192" s="170">
        <v>159</v>
      </c>
      <c r="N192" s="175">
        <f t="shared" si="75"/>
        <v>3301</v>
      </c>
      <c r="O192" s="176">
        <v>2975.2</v>
      </c>
      <c r="P192" s="183">
        <f>1704.6-0.3</f>
        <v>1704.3</v>
      </c>
      <c r="Q192" s="190"/>
      <c r="R192" s="172"/>
      <c r="S192" s="172"/>
      <c r="T192" s="172"/>
      <c r="U192" s="172"/>
      <c r="V192" s="172">
        <v>281.5</v>
      </c>
      <c r="W192" s="172">
        <v>44.3</v>
      </c>
      <c r="X192" s="172">
        <f t="shared" si="79"/>
        <v>365.95</v>
      </c>
      <c r="Y192" s="198">
        <f t="shared" si="76"/>
        <v>263.87</v>
      </c>
      <c r="Z192" s="198">
        <f t="shared" si="80"/>
        <v>146.38</v>
      </c>
      <c r="AA192" s="190"/>
      <c r="AB192" s="205">
        <v>56.2</v>
      </c>
    </row>
    <row r="193" spans="1:28" ht="12.75">
      <c r="A193" s="165">
        <f t="shared" si="78"/>
        <v>154</v>
      </c>
      <c r="B193" s="48">
        <v>1993</v>
      </c>
      <c r="C193" s="48" t="s">
        <v>187</v>
      </c>
      <c r="D193" s="167" t="s">
        <v>174</v>
      </c>
      <c r="E193" s="166" t="s">
        <v>189</v>
      </c>
      <c r="F193" s="170" t="s">
        <v>39</v>
      </c>
      <c r="G193" s="170">
        <v>8</v>
      </c>
      <c r="H193" s="170">
        <v>5</v>
      </c>
      <c r="I193" s="170">
        <v>1</v>
      </c>
      <c r="J193" s="170">
        <v>3</v>
      </c>
      <c r="K193" s="170"/>
      <c r="L193" s="48">
        <v>30</v>
      </c>
      <c r="M193" s="170">
        <v>109</v>
      </c>
      <c r="N193" s="175">
        <f t="shared" si="75"/>
        <v>2410.1900000000005</v>
      </c>
      <c r="O193" s="176">
        <v>2030.39</v>
      </c>
      <c r="P193" s="183">
        <v>1386.1</v>
      </c>
      <c r="Q193" s="7"/>
      <c r="R193" s="172"/>
      <c r="S193" s="190">
        <f>78.7+53.3</f>
        <v>132</v>
      </c>
      <c r="T193" s="172"/>
      <c r="U193" s="190"/>
      <c r="V193" s="172">
        <v>214.5</v>
      </c>
      <c r="W193" s="172">
        <v>33.3</v>
      </c>
      <c r="X193" s="172">
        <f t="shared" si="79"/>
        <v>278.85</v>
      </c>
      <c r="Y193" s="198">
        <f t="shared" si="76"/>
        <v>200.61</v>
      </c>
      <c r="Z193" s="198">
        <f t="shared" si="80"/>
        <v>111.54000000000002</v>
      </c>
      <c r="AA193" s="190"/>
      <c r="AB193" s="205">
        <v>42.1</v>
      </c>
    </row>
    <row r="194" spans="1:28" ht="12.75">
      <c r="A194" s="165">
        <f t="shared" si="78"/>
        <v>155</v>
      </c>
      <c r="B194" s="48">
        <v>1994</v>
      </c>
      <c r="C194" s="48" t="s">
        <v>190</v>
      </c>
      <c r="D194" s="167" t="s">
        <v>174</v>
      </c>
      <c r="E194" s="166">
        <v>21</v>
      </c>
      <c r="F194" s="170" t="s">
        <v>39</v>
      </c>
      <c r="G194" s="170">
        <v>8</v>
      </c>
      <c r="H194" s="170">
        <v>5</v>
      </c>
      <c r="I194" s="170">
        <v>1</v>
      </c>
      <c r="J194" s="170">
        <v>6</v>
      </c>
      <c r="K194" s="170"/>
      <c r="L194" s="48">
        <v>59</v>
      </c>
      <c r="M194" s="170">
        <v>212</v>
      </c>
      <c r="N194" s="175">
        <f t="shared" si="75"/>
        <v>4848.400000000001</v>
      </c>
      <c r="O194" s="176">
        <f>4236.6+0.5</f>
        <v>4237.1</v>
      </c>
      <c r="P194" s="183">
        <f>2776.3-17.4-35.2-0.8</f>
        <v>2722.9</v>
      </c>
      <c r="Q194" s="190"/>
      <c r="R194" s="172"/>
      <c r="S194" s="172">
        <v>132.1</v>
      </c>
      <c r="T194" s="172"/>
      <c r="U194" s="172"/>
      <c r="V194" s="172">
        <v>411.9</v>
      </c>
      <c r="W194" s="172">
        <v>67.3</v>
      </c>
      <c r="X194" s="172">
        <f t="shared" si="79"/>
        <v>535.47</v>
      </c>
      <c r="Y194" s="198">
        <f t="shared" si="76"/>
        <v>388.58200000000005</v>
      </c>
      <c r="Z194" s="198">
        <f t="shared" si="80"/>
        <v>214.18799999999993</v>
      </c>
      <c r="AA194" s="190"/>
      <c r="AB194" s="205">
        <v>79.56</v>
      </c>
    </row>
    <row r="195" spans="1:28" ht="12.75">
      <c r="A195" s="165">
        <f t="shared" si="78"/>
        <v>156</v>
      </c>
      <c r="B195" s="48">
        <v>1993</v>
      </c>
      <c r="C195" s="48" t="s">
        <v>191</v>
      </c>
      <c r="D195" s="167" t="s">
        <v>174</v>
      </c>
      <c r="E195" s="166" t="s">
        <v>192</v>
      </c>
      <c r="F195" s="170" t="s">
        <v>39</v>
      </c>
      <c r="G195" s="170">
        <v>8</v>
      </c>
      <c r="H195" s="170">
        <v>5</v>
      </c>
      <c r="I195" s="170">
        <v>1</v>
      </c>
      <c r="J195" s="170">
        <v>4</v>
      </c>
      <c r="K195" s="170"/>
      <c r="L195" s="48">
        <v>60</v>
      </c>
      <c r="M195" s="170">
        <v>172</v>
      </c>
      <c r="N195" s="175">
        <f t="shared" si="75"/>
        <v>3329.7999999999997</v>
      </c>
      <c r="O195" s="176">
        <v>3002.2</v>
      </c>
      <c r="P195" s="183">
        <f>1722.1-0.5</f>
        <v>1721.6</v>
      </c>
      <c r="Q195" s="190"/>
      <c r="R195" s="172"/>
      <c r="S195" s="172"/>
      <c r="T195" s="172"/>
      <c r="U195" s="172"/>
      <c r="V195" s="172">
        <v>283.4</v>
      </c>
      <c r="W195" s="172">
        <v>44.2</v>
      </c>
      <c r="X195" s="172">
        <f t="shared" si="79"/>
        <v>368.41999999999996</v>
      </c>
      <c r="Y195" s="198">
        <f t="shared" si="76"/>
        <v>265.252</v>
      </c>
      <c r="Z195" s="198">
        <f t="shared" si="80"/>
        <v>147.36799999999994</v>
      </c>
      <c r="AA195" s="190"/>
      <c r="AB195" s="205">
        <v>56.2</v>
      </c>
    </row>
    <row r="196" spans="1:28" ht="12.75">
      <c r="A196" s="165">
        <f t="shared" si="78"/>
        <v>157</v>
      </c>
      <c r="B196" s="48">
        <v>1993</v>
      </c>
      <c r="C196" s="48" t="s">
        <v>187</v>
      </c>
      <c r="D196" s="167" t="s">
        <v>174</v>
      </c>
      <c r="E196" s="166" t="s">
        <v>93</v>
      </c>
      <c r="F196" s="170" t="s">
        <v>39</v>
      </c>
      <c r="G196" s="170">
        <v>8</v>
      </c>
      <c r="H196" s="170">
        <v>5</v>
      </c>
      <c r="I196" s="170">
        <v>1</v>
      </c>
      <c r="J196" s="170">
        <v>3</v>
      </c>
      <c r="K196" s="170"/>
      <c r="L196" s="48">
        <v>45</v>
      </c>
      <c r="M196" s="170">
        <v>117</v>
      </c>
      <c r="N196" s="175">
        <f t="shared" si="75"/>
        <v>2492.4</v>
      </c>
      <c r="O196" s="176">
        <v>2244.5</v>
      </c>
      <c r="P196" s="183">
        <f>1288.5-0.5</f>
        <v>1288</v>
      </c>
      <c r="Q196" s="190"/>
      <c r="R196" s="172"/>
      <c r="S196" s="172"/>
      <c r="T196" s="172"/>
      <c r="U196" s="172"/>
      <c r="V196" s="172">
        <v>214.8</v>
      </c>
      <c r="W196" s="172">
        <v>33.1</v>
      </c>
      <c r="X196" s="172">
        <f t="shared" si="79"/>
        <v>279.24</v>
      </c>
      <c r="Y196" s="198">
        <f t="shared" si="76"/>
        <v>200.64399999999998</v>
      </c>
      <c r="Z196" s="198">
        <f t="shared" si="80"/>
        <v>111.69600000000005</v>
      </c>
      <c r="AA196" s="190"/>
      <c r="AB196" s="205">
        <v>42.1</v>
      </c>
    </row>
    <row r="197" spans="1:28" ht="12.75">
      <c r="A197" s="165">
        <f t="shared" si="78"/>
        <v>158</v>
      </c>
      <c r="B197" s="48">
        <v>1997</v>
      </c>
      <c r="C197" s="48" t="s">
        <v>193</v>
      </c>
      <c r="D197" s="167" t="s">
        <v>194</v>
      </c>
      <c r="E197" s="166">
        <v>20</v>
      </c>
      <c r="F197" s="170" t="s">
        <v>39</v>
      </c>
      <c r="G197" s="166">
        <v>1</v>
      </c>
      <c r="H197" s="243" t="s">
        <v>195</v>
      </c>
      <c r="I197" s="170">
        <v>1</v>
      </c>
      <c r="J197" s="171">
        <v>2</v>
      </c>
      <c r="K197" s="171"/>
      <c r="L197" s="48">
        <v>48</v>
      </c>
      <c r="M197" s="170">
        <v>114</v>
      </c>
      <c r="N197" s="175">
        <f t="shared" si="75"/>
        <v>3618.1</v>
      </c>
      <c r="O197" s="176">
        <v>3191.2</v>
      </c>
      <c r="P197" s="177">
        <f>1738.2+0.3+9.5-0.3+8.7</f>
        <v>1756.4</v>
      </c>
      <c r="Q197" s="190"/>
      <c r="R197" s="172"/>
      <c r="S197" s="172">
        <v>157.6</v>
      </c>
      <c r="T197" s="172">
        <v>91.5</v>
      </c>
      <c r="U197" s="172"/>
      <c r="V197" s="172">
        <v>183.8</v>
      </c>
      <c r="W197" s="172">
        <v>85.5</v>
      </c>
      <c r="X197" s="172">
        <f t="shared" si="79"/>
        <v>238.94000000000003</v>
      </c>
      <c r="Y197" s="198">
        <f>X197/5*3+2.9+2.9+3.2+3.2+3.9+4+(90.1-2.9-2.9-3.2-3.2-3.9-4)/5*2</f>
        <v>191.464</v>
      </c>
      <c r="Z197" s="198">
        <f t="shared" si="80"/>
        <v>132.97600000000006</v>
      </c>
      <c r="AA197" s="190"/>
      <c r="AB197" s="205">
        <v>249.1</v>
      </c>
    </row>
    <row r="198" spans="1:28" ht="12.75">
      <c r="A198" s="165">
        <f t="shared" si="78"/>
        <v>159</v>
      </c>
      <c r="B198" s="48">
        <v>1996</v>
      </c>
      <c r="C198" s="48" t="s">
        <v>196</v>
      </c>
      <c r="D198" s="167" t="s">
        <v>194</v>
      </c>
      <c r="E198" s="166" t="s">
        <v>197</v>
      </c>
      <c r="F198" s="170" t="s">
        <v>39</v>
      </c>
      <c r="G198" s="166">
        <v>1</v>
      </c>
      <c r="H198" s="166">
        <v>9</v>
      </c>
      <c r="I198" s="170">
        <v>1</v>
      </c>
      <c r="J198" s="166">
        <v>2</v>
      </c>
      <c r="K198" s="166"/>
      <c r="L198" s="48">
        <v>68</v>
      </c>
      <c r="M198" s="170">
        <v>206</v>
      </c>
      <c r="N198" s="175">
        <f t="shared" si="75"/>
        <v>5448.5</v>
      </c>
      <c r="O198" s="176">
        <v>4713.9</v>
      </c>
      <c r="P198" s="177">
        <f>2606.2+0-0.1+0.1-8.4-0.3</f>
        <v>2597.4999999999995</v>
      </c>
      <c r="Q198" s="190"/>
      <c r="R198" s="172"/>
      <c r="S198" s="172">
        <v>267.3</v>
      </c>
      <c r="T198" s="172">
        <f>123.7+27.3</f>
        <v>151</v>
      </c>
      <c r="U198" s="172"/>
      <c r="V198" s="172">
        <v>264.1</v>
      </c>
      <c r="W198" s="172">
        <v>203.2</v>
      </c>
      <c r="X198" s="172">
        <f t="shared" si="79"/>
        <v>343.33000000000004</v>
      </c>
      <c r="Y198" s="198">
        <f>X198/H198*4+21.1+20.5+20.2/8*3</f>
        <v>201.76611111111112</v>
      </c>
      <c r="Z198" s="198">
        <f t="shared" si="80"/>
        <v>344.76388888888886</v>
      </c>
      <c r="AA198" s="190"/>
      <c r="AB198" s="205">
        <v>407.4</v>
      </c>
    </row>
    <row r="199" spans="1:28" ht="12.75">
      <c r="A199" s="165">
        <f t="shared" si="78"/>
        <v>160</v>
      </c>
      <c r="B199" s="48">
        <v>1993</v>
      </c>
      <c r="C199" s="48" t="s">
        <v>198</v>
      </c>
      <c r="D199" s="167" t="s">
        <v>156</v>
      </c>
      <c r="E199" s="166">
        <v>26</v>
      </c>
      <c r="F199" s="170" t="s">
        <v>39</v>
      </c>
      <c r="G199" s="170">
        <v>8</v>
      </c>
      <c r="H199" s="170">
        <v>5</v>
      </c>
      <c r="I199" s="170">
        <v>1</v>
      </c>
      <c r="J199" s="170">
        <v>5</v>
      </c>
      <c r="K199" s="170"/>
      <c r="L199" s="48">
        <v>74</v>
      </c>
      <c r="M199" s="170">
        <v>222</v>
      </c>
      <c r="N199" s="175">
        <f t="shared" si="75"/>
        <v>4130</v>
      </c>
      <c r="O199" s="176">
        <v>3684.6</v>
      </c>
      <c r="P199" s="183">
        <f>2113.4-0.2-0.2</f>
        <v>2113.0000000000005</v>
      </c>
      <c r="Q199" s="190"/>
      <c r="R199" s="172"/>
      <c r="S199" s="172">
        <v>39.5</v>
      </c>
      <c r="T199" s="172">
        <v>17.6</v>
      </c>
      <c r="U199" s="172"/>
      <c r="V199" s="172">
        <v>350.2</v>
      </c>
      <c r="W199" s="172">
        <v>55.7</v>
      </c>
      <c r="X199" s="172">
        <f t="shared" si="79"/>
        <v>455.26</v>
      </c>
      <c r="Y199" s="198">
        <f aca="true" t="shared" si="81" ref="Y199:Y206">X199/H199*3+W199</f>
        <v>328.85599999999994</v>
      </c>
      <c r="Z199" s="198">
        <f t="shared" si="80"/>
        <v>182.10400000000004</v>
      </c>
      <c r="AA199" s="190"/>
      <c r="AB199" s="205">
        <v>64.8</v>
      </c>
    </row>
    <row r="200" spans="1:28" ht="12.75">
      <c r="A200" s="165">
        <f t="shared" si="78"/>
        <v>161</v>
      </c>
      <c r="B200" s="48">
        <v>1993</v>
      </c>
      <c r="C200" s="48" t="s">
        <v>198</v>
      </c>
      <c r="D200" s="167" t="s">
        <v>156</v>
      </c>
      <c r="E200" s="166">
        <v>30</v>
      </c>
      <c r="F200" s="170" t="s">
        <v>39</v>
      </c>
      <c r="G200" s="170">
        <v>8</v>
      </c>
      <c r="H200" s="170">
        <v>5</v>
      </c>
      <c r="I200" s="170">
        <v>1</v>
      </c>
      <c r="J200" s="170">
        <v>6</v>
      </c>
      <c r="K200" s="170"/>
      <c r="L200" s="48">
        <v>89</v>
      </c>
      <c r="M200" s="170">
        <v>235</v>
      </c>
      <c r="N200" s="175">
        <f t="shared" si="75"/>
        <v>4871.400000000001</v>
      </c>
      <c r="O200" s="176">
        <v>4285.6</v>
      </c>
      <c r="P200" s="184">
        <v>2530.1</v>
      </c>
      <c r="Q200" s="190"/>
      <c r="R200" s="172"/>
      <c r="S200" s="172">
        <f>47.8+50.7</f>
        <v>98.5</v>
      </c>
      <c r="T200" s="172">
        <v>57.8</v>
      </c>
      <c r="U200" s="172"/>
      <c r="V200" s="172">
        <v>420.7</v>
      </c>
      <c r="W200" s="172">
        <v>66.6</v>
      </c>
      <c r="X200" s="172">
        <f t="shared" si="79"/>
        <v>546.91</v>
      </c>
      <c r="Y200" s="198">
        <f t="shared" si="81"/>
        <v>394.746</v>
      </c>
      <c r="Z200" s="198">
        <f t="shared" si="80"/>
        <v>218.764</v>
      </c>
      <c r="AA200" s="190"/>
      <c r="AB200" s="205">
        <v>84.24</v>
      </c>
    </row>
    <row r="201" spans="1:28" ht="12.75">
      <c r="A201" s="165">
        <f t="shared" si="78"/>
        <v>162</v>
      </c>
      <c r="B201" s="48">
        <v>1993</v>
      </c>
      <c r="C201" s="48" t="s">
        <v>50</v>
      </c>
      <c r="D201" s="167" t="s">
        <v>156</v>
      </c>
      <c r="E201" s="166" t="s">
        <v>199</v>
      </c>
      <c r="F201" s="170" t="s">
        <v>39</v>
      </c>
      <c r="G201" s="170">
        <v>8</v>
      </c>
      <c r="H201" s="170">
        <v>5</v>
      </c>
      <c r="I201" s="170">
        <v>1</v>
      </c>
      <c r="J201" s="170">
        <v>4</v>
      </c>
      <c r="K201" s="170"/>
      <c r="L201" s="48">
        <v>60</v>
      </c>
      <c r="M201" s="170">
        <v>143</v>
      </c>
      <c r="N201" s="175">
        <f t="shared" si="75"/>
        <v>3298.1000000000004</v>
      </c>
      <c r="O201" s="176">
        <v>2972.9</v>
      </c>
      <c r="P201" s="177">
        <f>1676.9+28.8-0.1</f>
        <v>1705.6000000000001</v>
      </c>
      <c r="Q201" s="190"/>
      <c r="R201" s="172"/>
      <c r="S201" s="172"/>
      <c r="T201" s="172"/>
      <c r="U201" s="172"/>
      <c r="V201" s="172">
        <v>280.8</v>
      </c>
      <c r="W201" s="172">
        <v>44.4</v>
      </c>
      <c r="X201" s="172">
        <f t="shared" si="79"/>
        <v>365.04</v>
      </c>
      <c r="Y201" s="198">
        <f t="shared" si="81"/>
        <v>263.42400000000004</v>
      </c>
      <c r="Z201" s="198">
        <f t="shared" si="80"/>
        <v>146.01599999999996</v>
      </c>
      <c r="AA201" s="190"/>
      <c r="AB201" s="205">
        <v>56.2</v>
      </c>
    </row>
    <row r="202" spans="1:28" ht="12.75">
      <c r="A202" s="165">
        <f t="shared" si="78"/>
        <v>163</v>
      </c>
      <c r="B202" s="48">
        <v>1993</v>
      </c>
      <c r="C202" s="48" t="s">
        <v>198</v>
      </c>
      <c r="D202" s="167" t="s">
        <v>156</v>
      </c>
      <c r="E202" s="166" t="s">
        <v>200</v>
      </c>
      <c r="F202" s="170" t="s">
        <v>39</v>
      </c>
      <c r="G202" s="170">
        <v>8</v>
      </c>
      <c r="H202" s="170">
        <v>5</v>
      </c>
      <c r="I202" s="170">
        <v>1</v>
      </c>
      <c r="J202" s="170">
        <v>5</v>
      </c>
      <c r="K202" s="170"/>
      <c r="L202" s="48">
        <v>50</v>
      </c>
      <c r="M202" s="170">
        <v>189</v>
      </c>
      <c r="N202" s="175">
        <f t="shared" si="75"/>
        <v>3985</v>
      </c>
      <c r="O202" s="176">
        <f>3577.4-0.9</f>
        <v>3576.5</v>
      </c>
      <c r="P202" s="183">
        <f>2304.7-R202-0.2+3.6-0.3-0.9</f>
        <v>2306.8999999999996</v>
      </c>
      <c r="Q202" s="190"/>
      <c r="R202" s="172"/>
      <c r="S202" s="172"/>
      <c r="T202" s="172"/>
      <c r="U202" s="172"/>
      <c r="V202" s="172">
        <v>352.6</v>
      </c>
      <c r="W202" s="172">
        <v>55.9</v>
      </c>
      <c r="X202" s="172">
        <f t="shared" si="79"/>
        <v>458.38000000000005</v>
      </c>
      <c r="Y202" s="198">
        <f t="shared" si="81"/>
        <v>330.928</v>
      </c>
      <c r="Z202" s="198">
        <f t="shared" si="80"/>
        <v>183.3520000000001</v>
      </c>
      <c r="AA202" s="190"/>
      <c r="AB202" s="205">
        <v>64.8</v>
      </c>
    </row>
    <row r="203" spans="1:28" ht="12.75">
      <c r="A203" s="165">
        <f t="shared" si="78"/>
        <v>164</v>
      </c>
      <c r="B203" s="48">
        <v>1993</v>
      </c>
      <c r="C203" s="48" t="s">
        <v>201</v>
      </c>
      <c r="D203" s="167" t="s">
        <v>156</v>
      </c>
      <c r="E203" s="166">
        <v>32</v>
      </c>
      <c r="F203" s="170" t="s">
        <v>39</v>
      </c>
      <c r="G203" s="170">
        <v>8</v>
      </c>
      <c r="H203" s="170">
        <v>5</v>
      </c>
      <c r="I203" s="170">
        <v>1</v>
      </c>
      <c r="J203" s="170">
        <v>5</v>
      </c>
      <c r="K203" s="170"/>
      <c r="L203" s="48">
        <v>75</v>
      </c>
      <c r="M203" s="170">
        <v>217</v>
      </c>
      <c r="N203" s="175">
        <f t="shared" si="75"/>
        <v>4151.1</v>
      </c>
      <c r="O203" s="176">
        <v>3741.2</v>
      </c>
      <c r="P203" s="177">
        <f>2149.2-0.6-0.4-0.5+0.5</f>
        <v>2148.2</v>
      </c>
      <c r="Q203" s="190"/>
      <c r="R203" s="172"/>
      <c r="S203" s="172"/>
      <c r="T203" s="172"/>
      <c r="U203" s="172"/>
      <c r="V203" s="172">
        <v>354.3</v>
      </c>
      <c r="W203" s="172">
        <v>55.6</v>
      </c>
      <c r="X203" s="172">
        <f t="shared" si="79"/>
        <v>460.59000000000003</v>
      </c>
      <c r="Y203" s="198">
        <f t="shared" si="81"/>
        <v>331.95400000000006</v>
      </c>
      <c r="Z203" s="198">
        <f t="shared" si="80"/>
        <v>184.236</v>
      </c>
      <c r="AA203" s="190"/>
      <c r="AB203" s="205">
        <v>70.2</v>
      </c>
    </row>
    <row r="204" spans="1:28" ht="12.75">
      <c r="A204" s="165">
        <f t="shared" si="78"/>
        <v>165</v>
      </c>
      <c r="B204" s="48">
        <v>1993</v>
      </c>
      <c r="C204" s="48" t="s">
        <v>58</v>
      </c>
      <c r="D204" s="167" t="s">
        <v>156</v>
      </c>
      <c r="E204" s="166">
        <v>34</v>
      </c>
      <c r="F204" s="170" t="s">
        <v>39</v>
      </c>
      <c r="G204" s="170">
        <v>8</v>
      </c>
      <c r="H204" s="170">
        <v>5</v>
      </c>
      <c r="I204" s="170">
        <v>1</v>
      </c>
      <c r="J204" s="170">
        <v>6</v>
      </c>
      <c r="K204" s="170"/>
      <c r="L204" s="48">
        <v>89</v>
      </c>
      <c r="M204" s="170">
        <v>273</v>
      </c>
      <c r="N204" s="175">
        <f t="shared" si="75"/>
        <v>4930.900000000001</v>
      </c>
      <c r="O204" s="176">
        <v>4393.1</v>
      </c>
      <c r="P204" s="177">
        <f>2559.3+0.4-0.2-0.2-1.7</f>
        <v>2557.600000000001</v>
      </c>
      <c r="Q204" s="190">
        <v>51.1</v>
      </c>
      <c r="R204" s="172"/>
      <c r="S204" s="172"/>
      <c r="T204" s="172"/>
      <c r="U204" s="172"/>
      <c r="V204" s="172">
        <v>420</v>
      </c>
      <c r="W204" s="172">
        <v>66.7</v>
      </c>
      <c r="X204" s="172">
        <f t="shared" si="79"/>
        <v>546</v>
      </c>
      <c r="Y204" s="198">
        <f t="shared" si="81"/>
        <v>394.3</v>
      </c>
      <c r="Z204" s="198">
        <f t="shared" si="80"/>
        <v>218.40000000000003</v>
      </c>
      <c r="AA204" s="190"/>
      <c r="AB204" s="205">
        <v>84.2</v>
      </c>
    </row>
    <row r="205" spans="1:28" ht="12.75">
      <c r="A205" s="165">
        <f t="shared" si="78"/>
        <v>166</v>
      </c>
      <c r="B205" s="48">
        <v>1993</v>
      </c>
      <c r="C205" s="48" t="s">
        <v>58</v>
      </c>
      <c r="D205" s="167" t="s">
        <v>156</v>
      </c>
      <c r="E205" s="166" t="s">
        <v>202</v>
      </c>
      <c r="F205" s="170" t="s">
        <v>39</v>
      </c>
      <c r="G205" s="170">
        <v>8</v>
      </c>
      <c r="H205" s="170">
        <v>5</v>
      </c>
      <c r="I205" s="170">
        <v>1</v>
      </c>
      <c r="J205" s="170">
        <v>3</v>
      </c>
      <c r="K205" s="170"/>
      <c r="L205" s="48">
        <v>45</v>
      </c>
      <c r="M205" s="170">
        <v>135</v>
      </c>
      <c r="N205" s="175">
        <f t="shared" si="75"/>
        <v>2492.1</v>
      </c>
      <c r="O205" s="176">
        <f>2245.9-0.2</f>
        <v>2245.7000000000003</v>
      </c>
      <c r="P205" s="177">
        <f>1284.8-0.4</f>
        <v>1284.3999999999999</v>
      </c>
      <c r="Q205" s="190"/>
      <c r="R205" s="172"/>
      <c r="S205" s="172"/>
      <c r="T205" s="172"/>
      <c r="U205" s="172"/>
      <c r="V205" s="172">
        <v>213.2</v>
      </c>
      <c r="W205" s="172">
        <v>33.2</v>
      </c>
      <c r="X205" s="172">
        <f t="shared" si="79"/>
        <v>277.15999999999997</v>
      </c>
      <c r="Y205" s="198">
        <f t="shared" si="81"/>
        <v>199.49599999999998</v>
      </c>
      <c r="Z205" s="198">
        <f t="shared" si="80"/>
        <v>110.86399999999998</v>
      </c>
      <c r="AA205" s="190"/>
      <c r="AB205" s="205">
        <v>42.1</v>
      </c>
    </row>
    <row r="206" spans="1:28" ht="12.75">
      <c r="A206" s="165">
        <f t="shared" si="78"/>
        <v>167</v>
      </c>
      <c r="B206" s="48">
        <v>1992</v>
      </c>
      <c r="C206" s="48" t="s">
        <v>50</v>
      </c>
      <c r="D206" s="167" t="s">
        <v>156</v>
      </c>
      <c r="E206" s="166" t="s">
        <v>203</v>
      </c>
      <c r="F206" s="170" t="s">
        <v>39</v>
      </c>
      <c r="G206" s="170">
        <v>8</v>
      </c>
      <c r="H206" s="170">
        <v>5</v>
      </c>
      <c r="I206" s="170">
        <v>1</v>
      </c>
      <c r="J206" s="170">
        <v>6</v>
      </c>
      <c r="K206" s="170"/>
      <c r="L206" s="48">
        <v>60</v>
      </c>
      <c r="M206" s="170">
        <v>227</v>
      </c>
      <c r="N206" s="175">
        <f t="shared" si="75"/>
        <v>4765.5</v>
      </c>
      <c r="O206" s="176">
        <f>4275.9</f>
        <v>4275.9</v>
      </c>
      <c r="P206" s="177">
        <f>2754.3-0.6-0.4-1.5</f>
        <v>2751.8</v>
      </c>
      <c r="Q206" s="190"/>
      <c r="R206" s="172"/>
      <c r="S206" s="172"/>
      <c r="T206" s="172"/>
      <c r="U206" s="172"/>
      <c r="V206" s="172">
        <v>422.8</v>
      </c>
      <c r="W206" s="172">
        <v>66.8</v>
      </c>
      <c r="X206" s="172">
        <f t="shared" si="79"/>
        <v>549.64</v>
      </c>
      <c r="Y206" s="198">
        <f t="shared" si="81"/>
        <v>396.584</v>
      </c>
      <c r="Z206" s="198">
        <f t="shared" si="80"/>
        <v>219.85599999999994</v>
      </c>
      <c r="AA206" s="190"/>
      <c r="AB206" s="205">
        <v>86.4</v>
      </c>
    </row>
    <row r="207" spans="1:28" ht="12.75">
      <c r="A207" s="165">
        <f t="shared" si="78"/>
        <v>168</v>
      </c>
      <c r="B207" s="48">
        <v>1996</v>
      </c>
      <c r="C207" s="48" t="s">
        <v>204</v>
      </c>
      <c r="D207" s="167" t="s">
        <v>156</v>
      </c>
      <c r="E207" s="166">
        <v>36</v>
      </c>
      <c r="F207" s="170" t="s">
        <v>39</v>
      </c>
      <c r="G207" s="166">
        <v>1</v>
      </c>
      <c r="H207" s="166">
        <v>9</v>
      </c>
      <c r="I207" s="170">
        <v>1</v>
      </c>
      <c r="J207" s="170">
        <v>2</v>
      </c>
      <c r="K207" s="170"/>
      <c r="L207" s="48">
        <v>71</v>
      </c>
      <c r="M207" s="170">
        <v>195</v>
      </c>
      <c r="N207" s="175">
        <f t="shared" si="75"/>
        <v>5526.200000000001</v>
      </c>
      <c r="O207" s="182">
        <v>4880</v>
      </c>
      <c r="P207" s="183">
        <f>2751.4-58.2</f>
        <v>2693.2000000000003</v>
      </c>
      <c r="Q207" s="260">
        <v>101.6</v>
      </c>
      <c r="R207" s="48">
        <v>58.2</v>
      </c>
      <c r="S207" s="172"/>
      <c r="T207" s="172"/>
      <c r="U207" s="172"/>
      <c r="V207" s="172">
        <v>310.3</v>
      </c>
      <c r="W207" s="172">
        <v>234.3</v>
      </c>
      <c r="X207" s="172">
        <f t="shared" si="79"/>
        <v>403.39000000000004</v>
      </c>
      <c r="Y207" s="198">
        <f>X207/H207*4+67.9+166.4/8*3</f>
        <v>309.58444444444444</v>
      </c>
      <c r="Z207" s="198">
        <f t="shared" si="80"/>
        <v>328.1055555555556</v>
      </c>
      <c r="AA207" s="190"/>
      <c r="AB207" s="205">
        <v>209.4</v>
      </c>
    </row>
    <row r="208" spans="1:28" ht="12.75">
      <c r="A208" s="165">
        <f t="shared" si="78"/>
        <v>169</v>
      </c>
      <c r="B208" s="48">
        <v>2008</v>
      </c>
      <c r="C208" s="48"/>
      <c r="D208" s="167" t="s">
        <v>156</v>
      </c>
      <c r="E208" s="166" t="s">
        <v>205</v>
      </c>
      <c r="F208" s="170" t="s">
        <v>39</v>
      </c>
      <c r="G208" s="166" t="s">
        <v>85</v>
      </c>
      <c r="H208" s="166">
        <v>9</v>
      </c>
      <c r="I208" s="170">
        <v>1</v>
      </c>
      <c r="J208" s="170">
        <v>2</v>
      </c>
      <c r="K208" s="170"/>
      <c r="L208" s="48">
        <v>108</v>
      </c>
      <c r="M208" s="170">
        <v>238</v>
      </c>
      <c r="N208" s="175">
        <f t="shared" si="75"/>
        <v>6458.9</v>
      </c>
      <c r="O208" s="182">
        <v>5384.4</v>
      </c>
      <c r="P208" s="183">
        <f>3076.1-22.7-26.9+22.7+26.9</f>
        <v>3076.1</v>
      </c>
      <c r="Q208" s="260"/>
      <c r="R208" s="48"/>
      <c r="S208" s="172"/>
      <c r="T208" s="172"/>
      <c r="U208" s="172"/>
      <c r="V208" s="199">
        <v>355</v>
      </c>
      <c r="W208" s="172">
        <v>719.5</v>
      </c>
      <c r="X208" s="172">
        <f t="shared" si="79"/>
        <v>461.5</v>
      </c>
      <c r="Y208" s="198">
        <f>X208/H208*4+67.9+166.4/8*3</f>
        <v>335.41111111111115</v>
      </c>
      <c r="Z208" s="198">
        <f t="shared" si="80"/>
        <v>845.5888888888888</v>
      </c>
      <c r="AA208" s="190"/>
      <c r="AB208" s="205"/>
    </row>
    <row r="209" spans="1:28" ht="12.75">
      <c r="A209" s="165">
        <f t="shared" si="78"/>
        <v>170</v>
      </c>
      <c r="B209" s="229">
        <v>2004</v>
      </c>
      <c r="C209" s="230"/>
      <c r="D209" s="231" t="s">
        <v>156</v>
      </c>
      <c r="E209" s="244">
        <v>40</v>
      </c>
      <c r="F209" s="229" t="s">
        <v>39</v>
      </c>
      <c r="G209" s="245">
        <v>1</v>
      </c>
      <c r="H209" s="229">
        <v>9</v>
      </c>
      <c r="I209" s="229">
        <v>1</v>
      </c>
      <c r="J209" s="229">
        <v>3</v>
      </c>
      <c r="K209" s="229"/>
      <c r="L209" s="229">
        <v>104</v>
      </c>
      <c r="M209" s="170">
        <v>289</v>
      </c>
      <c r="N209" s="175">
        <f t="shared" si="75"/>
        <v>6891.900000000001</v>
      </c>
      <c r="O209" s="250">
        <f>5843.1+1.1</f>
        <v>5844.200000000001</v>
      </c>
      <c r="P209" s="251">
        <v>3188.8</v>
      </c>
      <c r="Q209" s="190"/>
      <c r="R209" s="172"/>
      <c r="S209" s="172"/>
      <c r="T209" s="172"/>
      <c r="U209" s="266">
        <v>222.9</v>
      </c>
      <c r="V209" s="267">
        <v>447.1</v>
      </c>
      <c r="W209" s="250">
        <v>377.7</v>
      </c>
      <c r="X209" s="250">
        <f t="shared" si="79"/>
        <v>581.23</v>
      </c>
      <c r="Y209" s="268">
        <f>X209/H209*4+2.7+3.2+9.1+16.4+11.9+1.4+2.7+3.1+8.9+12+1.4+4.9+11.1+2.7+3.3+9.3+11.9+1.4+(12+12+12.1)*3</f>
        <v>484.0244444444443</v>
      </c>
      <c r="Z209" s="268">
        <f t="shared" si="80"/>
        <v>474.90555555555574</v>
      </c>
      <c r="AA209" s="190"/>
      <c r="AB209" s="205">
        <v>114.4</v>
      </c>
    </row>
    <row r="210" spans="1:28" ht="12.75">
      <c r="A210" s="165">
        <f t="shared" si="78"/>
        <v>171</v>
      </c>
      <c r="B210" s="48">
        <v>1994</v>
      </c>
      <c r="C210" s="48" t="s">
        <v>206</v>
      </c>
      <c r="D210" s="167" t="s">
        <v>156</v>
      </c>
      <c r="E210" s="166">
        <v>42</v>
      </c>
      <c r="F210" s="170" t="s">
        <v>39</v>
      </c>
      <c r="G210" s="170">
        <v>8</v>
      </c>
      <c r="H210" s="170">
        <v>5</v>
      </c>
      <c r="I210" s="170">
        <v>1</v>
      </c>
      <c r="J210" s="170">
        <v>6</v>
      </c>
      <c r="K210" s="170"/>
      <c r="L210" s="48">
        <v>90</v>
      </c>
      <c r="M210" s="170">
        <v>223</v>
      </c>
      <c r="N210" s="175">
        <f t="shared" si="75"/>
        <v>4975.5</v>
      </c>
      <c r="O210" s="176">
        <v>4435.7</v>
      </c>
      <c r="P210" s="183">
        <f>2588.8-1.1</f>
        <v>2587.7000000000003</v>
      </c>
      <c r="Q210" s="190"/>
      <c r="R210" s="172"/>
      <c r="S210" s="172">
        <v>50.7</v>
      </c>
      <c r="T210" s="172">
        <v>28.9</v>
      </c>
      <c r="U210" s="172"/>
      <c r="V210" s="172">
        <v>422.5</v>
      </c>
      <c r="W210" s="172">
        <v>66.6</v>
      </c>
      <c r="X210" s="172">
        <f t="shared" si="79"/>
        <v>549.25</v>
      </c>
      <c r="Y210" s="198">
        <f aca="true" t="shared" si="82" ref="Y210:Y220">X210/H210*3+W210</f>
        <v>396.15</v>
      </c>
      <c r="Z210" s="198">
        <f t="shared" si="80"/>
        <v>219.70000000000005</v>
      </c>
      <c r="AA210" s="190"/>
      <c r="AB210" s="205">
        <v>90.7</v>
      </c>
    </row>
    <row r="211" spans="1:28" ht="12.75">
      <c r="A211" s="165">
        <f t="shared" si="78"/>
        <v>172</v>
      </c>
      <c r="B211" s="48">
        <v>1994</v>
      </c>
      <c r="C211" s="48" t="s">
        <v>207</v>
      </c>
      <c r="D211" s="167" t="s">
        <v>156</v>
      </c>
      <c r="E211" s="166" t="s">
        <v>208</v>
      </c>
      <c r="F211" s="170" t="s">
        <v>39</v>
      </c>
      <c r="G211" s="170">
        <v>8</v>
      </c>
      <c r="H211" s="170">
        <v>5</v>
      </c>
      <c r="I211" s="170">
        <v>1</v>
      </c>
      <c r="J211" s="170">
        <v>3</v>
      </c>
      <c r="K211" s="170"/>
      <c r="L211" s="48">
        <v>45</v>
      </c>
      <c r="M211" s="170">
        <v>127</v>
      </c>
      <c r="N211" s="175">
        <f t="shared" si="75"/>
        <v>2488</v>
      </c>
      <c r="O211" s="185">
        <v>2242</v>
      </c>
      <c r="P211" s="183">
        <f>1287.4-0.7-1.2-0.6-0.8</f>
        <v>1284.1000000000001</v>
      </c>
      <c r="Q211" s="190"/>
      <c r="R211" s="172"/>
      <c r="S211" s="172"/>
      <c r="T211" s="172"/>
      <c r="U211" s="172"/>
      <c r="V211" s="172">
        <v>212.5</v>
      </c>
      <c r="W211" s="172">
        <v>33.5</v>
      </c>
      <c r="X211" s="172">
        <f t="shared" si="79"/>
        <v>276.25</v>
      </c>
      <c r="Y211" s="198">
        <f t="shared" si="82"/>
        <v>199.25</v>
      </c>
      <c r="Z211" s="198">
        <f t="shared" si="80"/>
        <v>110.5</v>
      </c>
      <c r="AA211" s="190"/>
      <c r="AB211" s="205">
        <v>44.3</v>
      </c>
    </row>
    <row r="212" spans="1:28" ht="12.75">
      <c r="A212" s="165">
        <f t="shared" si="78"/>
        <v>173</v>
      </c>
      <c r="B212" s="48">
        <v>1995</v>
      </c>
      <c r="C212" s="48" t="s">
        <v>209</v>
      </c>
      <c r="D212" s="167" t="s">
        <v>194</v>
      </c>
      <c r="E212" s="166" t="s">
        <v>210</v>
      </c>
      <c r="F212" s="170" t="s">
        <v>39</v>
      </c>
      <c r="G212" s="170">
        <v>8</v>
      </c>
      <c r="H212" s="170">
        <v>5</v>
      </c>
      <c r="I212" s="170">
        <v>1</v>
      </c>
      <c r="J212" s="170">
        <v>4</v>
      </c>
      <c r="K212" s="170"/>
      <c r="L212" s="48">
        <v>40</v>
      </c>
      <c r="M212" s="170">
        <v>149</v>
      </c>
      <c r="N212" s="175">
        <f t="shared" si="75"/>
        <v>3170.2</v>
      </c>
      <c r="O212" s="176">
        <f>2769.6-0.2+0.6-0.8-0.7-0.4+79.6</f>
        <v>2847.7</v>
      </c>
      <c r="P212" s="183">
        <f>1778.5-0.8+0.6-0.7-0.3-0.5+52.1</f>
        <v>1828.8999999999999</v>
      </c>
      <c r="Q212" s="190"/>
      <c r="R212" s="172"/>
      <c r="S212" s="172"/>
      <c r="T212" s="172"/>
      <c r="U212" s="172"/>
      <c r="V212" s="172">
        <v>282.2</v>
      </c>
      <c r="W212" s="172">
        <v>40.3</v>
      </c>
      <c r="X212" s="172">
        <f t="shared" si="79"/>
        <v>366.86</v>
      </c>
      <c r="Y212" s="198">
        <f t="shared" si="82"/>
        <v>260.416</v>
      </c>
      <c r="Z212" s="198">
        <f t="shared" si="80"/>
        <v>146.74400000000003</v>
      </c>
      <c r="AA212" s="190"/>
      <c r="AB212" s="205">
        <v>55.4</v>
      </c>
    </row>
    <row r="213" spans="1:28" ht="12.75">
      <c r="A213" s="165">
        <f t="shared" si="78"/>
        <v>174</v>
      </c>
      <c r="B213" s="48">
        <v>1994</v>
      </c>
      <c r="C213" s="48" t="s">
        <v>211</v>
      </c>
      <c r="D213" s="167" t="s">
        <v>156</v>
      </c>
      <c r="E213" s="166">
        <v>44</v>
      </c>
      <c r="F213" s="170" t="s">
        <v>39</v>
      </c>
      <c r="G213" s="170">
        <v>8</v>
      </c>
      <c r="H213" s="170">
        <v>5</v>
      </c>
      <c r="I213" s="170">
        <v>1</v>
      </c>
      <c r="J213" s="170">
        <v>4</v>
      </c>
      <c r="K213" s="170"/>
      <c r="L213" s="48">
        <v>60</v>
      </c>
      <c r="M213" s="170">
        <v>163</v>
      </c>
      <c r="N213" s="175">
        <f t="shared" si="75"/>
        <v>3307.2000000000003</v>
      </c>
      <c r="O213" s="176">
        <v>2978.4</v>
      </c>
      <c r="P213" s="183">
        <f>1712.7-0.4-0.1-0.3</f>
        <v>1711.9</v>
      </c>
      <c r="Q213" s="190"/>
      <c r="R213" s="172"/>
      <c r="S213" s="172"/>
      <c r="T213" s="172"/>
      <c r="U213" s="172"/>
      <c r="V213" s="172">
        <v>284</v>
      </c>
      <c r="W213" s="172">
        <v>44.8</v>
      </c>
      <c r="X213" s="172">
        <f t="shared" si="79"/>
        <v>369.2</v>
      </c>
      <c r="Y213" s="198">
        <f t="shared" si="82"/>
        <v>266.32</v>
      </c>
      <c r="Z213" s="198">
        <f t="shared" si="80"/>
        <v>147.68</v>
      </c>
      <c r="AA213" s="190"/>
      <c r="AB213" s="205">
        <v>56.2</v>
      </c>
    </row>
    <row r="214" spans="1:28" ht="12.75">
      <c r="A214" s="165">
        <f t="shared" si="78"/>
        <v>175</v>
      </c>
      <c r="B214" s="48">
        <v>1994</v>
      </c>
      <c r="C214" s="48" t="s">
        <v>55</v>
      </c>
      <c r="D214" s="167" t="s">
        <v>194</v>
      </c>
      <c r="E214" s="166" t="s">
        <v>212</v>
      </c>
      <c r="F214" s="170" t="s">
        <v>39</v>
      </c>
      <c r="G214" s="170">
        <v>8</v>
      </c>
      <c r="H214" s="170">
        <v>5</v>
      </c>
      <c r="I214" s="170">
        <v>1</v>
      </c>
      <c r="J214" s="170">
        <v>4</v>
      </c>
      <c r="K214" s="170"/>
      <c r="L214" s="48">
        <v>40</v>
      </c>
      <c r="M214" s="170">
        <v>157</v>
      </c>
      <c r="N214" s="175">
        <f t="shared" si="75"/>
        <v>3187.1</v>
      </c>
      <c r="O214" s="176">
        <v>2862.2</v>
      </c>
      <c r="P214" s="183">
        <f>1835.5-0.2-0.6-0.5</f>
        <v>1834.2</v>
      </c>
      <c r="Q214" s="190"/>
      <c r="R214" s="172"/>
      <c r="S214" s="172"/>
      <c r="T214" s="172"/>
      <c r="U214" s="172"/>
      <c r="V214" s="172">
        <v>280.8</v>
      </c>
      <c r="W214" s="172">
        <v>44.1</v>
      </c>
      <c r="X214" s="172">
        <f t="shared" si="79"/>
        <v>365.04</v>
      </c>
      <c r="Y214" s="198">
        <f t="shared" si="82"/>
        <v>263.124</v>
      </c>
      <c r="Z214" s="198">
        <f t="shared" si="80"/>
        <v>146.01600000000002</v>
      </c>
      <c r="AA214" s="190"/>
      <c r="AB214" s="205">
        <v>56.2</v>
      </c>
    </row>
    <row r="215" spans="1:28" ht="12.75">
      <c r="A215" s="165">
        <f t="shared" si="78"/>
        <v>176</v>
      </c>
      <c r="B215" s="48">
        <v>1994</v>
      </c>
      <c r="C215" s="48" t="s">
        <v>55</v>
      </c>
      <c r="D215" s="167" t="s">
        <v>156</v>
      </c>
      <c r="E215" s="166" t="s">
        <v>213</v>
      </c>
      <c r="F215" s="170" t="s">
        <v>39</v>
      </c>
      <c r="G215" s="170">
        <v>8</v>
      </c>
      <c r="H215" s="170">
        <v>5</v>
      </c>
      <c r="I215" s="170">
        <v>1</v>
      </c>
      <c r="J215" s="170">
        <v>6</v>
      </c>
      <c r="K215" s="170"/>
      <c r="L215" s="48">
        <v>89</v>
      </c>
      <c r="M215" s="170">
        <v>241</v>
      </c>
      <c r="N215" s="175">
        <f t="shared" si="75"/>
        <v>4993.500000000001</v>
      </c>
      <c r="O215" s="176">
        <f>4453.8-3</f>
        <v>4450.8</v>
      </c>
      <c r="P215" s="183">
        <f>2593.5-1.6-29.4-0.7</f>
        <v>2561.8</v>
      </c>
      <c r="Q215" s="190"/>
      <c r="R215" s="172"/>
      <c r="S215" s="172">
        <v>51.8</v>
      </c>
      <c r="T215" s="172">
        <v>29.4</v>
      </c>
      <c r="U215" s="172"/>
      <c r="V215" s="172">
        <v>423.3</v>
      </c>
      <c r="W215" s="172">
        <v>67.6</v>
      </c>
      <c r="X215" s="172">
        <f t="shared" si="79"/>
        <v>550.2900000000001</v>
      </c>
      <c r="Y215" s="198">
        <f t="shared" si="82"/>
        <v>397.7740000000001</v>
      </c>
      <c r="Z215" s="198">
        <f t="shared" si="80"/>
        <v>220.11599999999999</v>
      </c>
      <c r="AA215" s="190"/>
      <c r="AB215" s="205">
        <v>81.7</v>
      </c>
    </row>
    <row r="216" spans="1:28" ht="12.75">
      <c r="A216" s="165">
        <f t="shared" si="78"/>
        <v>177</v>
      </c>
      <c r="B216" s="48">
        <v>1994</v>
      </c>
      <c r="C216" s="48" t="s">
        <v>214</v>
      </c>
      <c r="D216" s="167" t="s">
        <v>156</v>
      </c>
      <c r="E216" s="166" t="s">
        <v>215</v>
      </c>
      <c r="F216" s="170" t="s">
        <v>39</v>
      </c>
      <c r="G216" s="170">
        <v>8</v>
      </c>
      <c r="H216" s="170">
        <v>5</v>
      </c>
      <c r="I216" s="170">
        <v>1</v>
      </c>
      <c r="J216" s="170">
        <v>4</v>
      </c>
      <c r="K216" s="170"/>
      <c r="L216" s="48">
        <v>60</v>
      </c>
      <c r="M216" s="170">
        <v>142</v>
      </c>
      <c r="N216" s="175">
        <f t="shared" si="75"/>
        <v>3358.3</v>
      </c>
      <c r="O216" s="176">
        <v>3029.3</v>
      </c>
      <c r="P216" s="183">
        <f>1736.7-0.5-0.7-1</f>
        <v>1734.5</v>
      </c>
      <c r="Q216" s="190"/>
      <c r="R216" s="172"/>
      <c r="S216" s="172"/>
      <c r="T216" s="172"/>
      <c r="U216" s="172"/>
      <c r="V216" s="172">
        <v>283.3</v>
      </c>
      <c r="W216" s="172">
        <v>45.7</v>
      </c>
      <c r="X216" s="172">
        <f t="shared" si="79"/>
        <v>368.29</v>
      </c>
      <c r="Y216" s="198">
        <f t="shared" si="82"/>
        <v>266.674</v>
      </c>
      <c r="Z216" s="198">
        <f t="shared" si="80"/>
        <v>147.31600000000003</v>
      </c>
      <c r="AA216" s="190"/>
      <c r="AB216" s="205">
        <v>56.25</v>
      </c>
    </row>
    <row r="217" spans="1:28" ht="12.75">
      <c r="A217" s="165">
        <f t="shared" si="78"/>
        <v>178</v>
      </c>
      <c r="B217" s="48">
        <v>1994</v>
      </c>
      <c r="C217" s="48" t="s">
        <v>211</v>
      </c>
      <c r="D217" s="167" t="s">
        <v>92</v>
      </c>
      <c r="E217" s="166">
        <v>46</v>
      </c>
      <c r="F217" s="170" t="s">
        <v>39</v>
      </c>
      <c r="G217" s="170">
        <v>8</v>
      </c>
      <c r="H217" s="170">
        <v>5</v>
      </c>
      <c r="I217" s="170">
        <v>1</v>
      </c>
      <c r="J217" s="170">
        <v>6</v>
      </c>
      <c r="K217" s="170"/>
      <c r="L217" s="48">
        <v>59</v>
      </c>
      <c r="M217" s="170">
        <v>235</v>
      </c>
      <c r="N217" s="175">
        <f t="shared" si="75"/>
        <v>4808.800000000001</v>
      </c>
      <c r="O217" s="176">
        <v>4321.6</v>
      </c>
      <c r="P217" s="183">
        <f>2787.1-1+0-1.2-1-0.8-2.5-0.4-1.4-1.8</f>
        <v>2776.9999999999995</v>
      </c>
      <c r="Q217" s="190"/>
      <c r="R217" s="172"/>
      <c r="S217" s="172"/>
      <c r="T217" s="172"/>
      <c r="U217" s="172"/>
      <c r="V217" s="172">
        <v>421.1</v>
      </c>
      <c r="W217" s="172">
        <v>66.1</v>
      </c>
      <c r="X217" s="172">
        <f t="shared" si="79"/>
        <v>547.4300000000001</v>
      </c>
      <c r="Y217" s="198">
        <f t="shared" si="82"/>
        <v>394.5580000000001</v>
      </c>
      <c r="Z217" s="198">
        <f t="shared" si="80"/>
        <v>218.97199999999998</v>
      </c>
      <c r="AA217" s="190"/>
      <c r="AB217" s="205">
        <v>86.4</v>
      </c>
    </row>
    <row r="218" spans="1:28" ht="12.75">
      <c r="A218" s="165">
        <f t="shared" si="78"/>
        <v>179</v>
      </c>
      <c r="B218" s="48">
        <v>1993</v>
      </c>
      <c r="C218" s="48" t="s">
        <v>50</v>
      </c>
      <c r="D218" s="167" t="s">
        <v>92</v>
      </c>
      <c r="E218" s="166">
        <v>48</v>
      </c>
      <c r="F218" s="170" t="s">
        <v>39</v>
      </c>
      <c r="G218" s="170">
        <v>8</v>
      </c>
      <c r="H218" s="170">
        <v>5</v>
      </c>
      <c r="I218" s="170">
        <v>1</v>
      </c>
      <c r="J218" s="170">
        <v>6</v>
      </c>
      <c r="K218" s="170"/>
      <c r="L218" s="48">
        <v>51</v>
      </c>
      <c r="M218" s="170">
        <v>193</v>
      </c>
      <c r="N218" s="175">
        <f t="shared" si="75"/>
        <v>6169.639999999999</v>
      </c>
      <c r="O218" s="176">
        <v>3711.04</v>
      </c>
      <c r="P218" s="183">
        <f>2339.9-1.4+2.3-0.8-1.4</f>
        <v>2338.6</v>
      </c>
      <c r="Q218" s="190"/>
      <c r="R218" s="172"/>
      <c r="S218" s="172"/>
      <c r="T218" s="172"/>
      <c r="U218" s="48">
        <v>1981.2</v>
      </c>
      <c r="V218" s="172">
        <v>425</v>
      </c>
      <c r="W218" s="172">
        <v>52.4</v>
      </c>
      <c r="X218" s="172">
        <f t="shared" si="79"/>
        <v>552.5</v>
      </c>
      <c r="Y218" s="198">
        <f t="shared" si="82"/>
        <v>383.9</v>
      </c>
      <c r="Z218" s="198">
        <f t="shared" si="80"/>
        <v>221</v>
      </c>
      <c r="AA218" s="190"/>
      <c r="AB218" s="205">
        <v>86.4</v>
      </c>
    </row>
    <row r="219" spans="1:28" ht="12.75">
      <c r="A219" s="165">
        <f t="shared" si="78"/>
        <v>180</v>
      </c>
      <c r="B219" s="48">
        <v>1993</v>
      </c>
      <c r="C219" s="48" t="s">
        <v>187</v>
      </c>
      <c r="D219" s="167" t="s">
        <v>92</v>
      </c>
      <c r="E219" s="166">
        <v>50</v>
      </c>
      <c r="F219" s="170" t="s">
        <v>39</v>
      </c>
      <c r="G219" s="170">
        <v>8</v>
      </c>
      <c r="H219" s="170">
        <v>5</v>
      </c>
      <c r="I219" s="170">
        <v>1</v>
      </c>
      <c r="J219" s="170">
        <v>6</v>
      </c>
      <c r="K219" s="170"/>
      <c r="L219" s="48">
        <v>59</v>
      </c>
      <c r="M219" s="170">
        <v>237</v>
      </c>
      <c r="N219" s="175">
        <f t="shared" si="75"/>
        <v>4789.3</v>
      </c>
      <c r="O219" s="176">
        <v>4212.8</v>
      </c>
      <c r="P219" s="183">
        <f>2763.3-1.1-0.5-1.2-0.3-0.7-41.8-1.1</f>
        <v>2716.6000000000004</v>
      </c>
      <c r="Q219" s="190">
        <v>79.5</v>
      </c>
      <c r="R219" s="172">
        <v>41.8</v>
      </c>
      <c r="S219" s="172"/>
      <c r="T219" s="172"/>
      <c r="U219" s="172"/>
      <c r="V219" s="172">
        <v>429.9</v>
      </c>
      <c r="W219" s="172">
        <v>67.1</v>
      </c>
      <c r="X219" s="172">
        <f t="shared" si="79"/>
        <v>558.87</v>
      </c>
      <c r="Y219" s="198">
        <f t="shared" si="82"/>
        <v>402.422</v>
      </c>
      <c r="Z219" s="198">
        <f t="shared" si="80"/>
        <v>223.548</v>
      </c>
      <c r="AA219" s="190"/>
      <c r="AB219" s="205">
        <v>86.4</v>
      </c>
    </row>
    <row r="220" spans="1:28" ht="12.75">
      <c r="A220" s="165">
        <f t="shared" si="78"/>
        <v>181</v>
      </c>
      <c r="B220" s="232">
        <v>2006</v>
      </c>
      <c r="C220" s="232">
        <v>2007</v>
      </c>
      <c r="D220" s="233" t="s">
        <v>171</v>
      </c>
      <c r="E220" s="246">
        <v>101</v>
      </c>
      <c r="F220" s="247" t="s">
        <v>39</v>
      </c>
      <c r="G220" s="246">
        <v>1</v>
      </c>
      <c r="H220" s="246">
        <v>9</v>
      </c>
      <c r="I220" s="247">
        <v>1</v>
      </c>
      <c r="J220" s="247">
        <v>3</v>
      </c>
      <c r="K220" s="247"/>
      <c r="L220" s="232">
        <v>106</v>
      </c>
      <c r="M220" s="247">
        <v>272</v>
      </c>
      <c r="N220" s="175">
        <f t="shared" si="75"/>
        <v>6646.7</v>
      </c>
      <c r="O220" s="252">
        <v>5744.5</v>
      </c>
      <c r="P220" s="253">
        <v>3088.5</v>
      </c>
      <c r="Q220" s="261"/>
      <c r="R220" s="262"/>
      <c r="S220" s="262"/>
      <c r="T220" s="262"/>
      <c r="U220" s="262"/>
      <c r="V220" s="262">
        <v>382.4</v>
      </c>
      <c r="W220" s="262">
        <v>519.8</v>
      </c>
      <c r="X220" s="262">
        <f t="shared" si="79"/>
        <v>497.12</v>
      </c>
      <c r="Y220" s="269">
        <f t="shared" si="82"/>
        <v>685.5066666666667</v>
      </c>
      <c r="Z220" s="269">
        <f t="shared" si="80"/>
        <v>331.4133333333333</v>
      </c>
      <c r="AA220" s="261"/>
      <c r="AB220" s="207"/>
    </row>
    <row r="221" spans="1:29" ht="12.75">
      <c r="A221" s="234"/>
      <c r="B221" s="235"/>
      <c r="C221" s="235"/>
      <c r="D221" s="236" t="s">
        <v>154</v>
      </c>
      <c r="E221" s="248"/>
      <c r="F221" s="248"/>
      <c r="G221" s="248"/>
      <c r="H221" s="249"/>
      <c r="I221" s="248">
        <f aca="true" t="shared" si="83" ref="I221:AB221">SUM(I175:I220)</f>
        <v>46</v>
      </c>
      <c r="J221" s="249">
        <f t="shared" si="83"/>
        <v>196</v>
      </c>
      <c r="K221" s="235">
        <f t="shared" si="83"/>
        <v>0</v>
      </c>
      <c r="L221" s="249">
        <f t="shared" si="83"/>
        <v>2839</v>
      </c>
      <c r="M221" s="235">
        <f t="shared" si="83"/>
        <v>8382</v>
      </c>
      <c r="N221" s="254">
        <f t="shared" si="83"/>
        <v>184395.03000000003</v>
      </c>
      <c r="O221" s="255">
        <f t="shared" si="83"/>
        <v>161555.02999999997</v>
      </c>
      <c r="P221" s="256">
        <f t="shared" si="83"/>
        <v>96206.40000000001</v>
      </c>
      <c r="Q221" s="263">
        <f t="shared" si="83"/>
        <v>232.2</v>
      </c>
      <c r="R221" s="264">
        <f t="shared" si="83"/>
        <v>100</v>
      </c>
      <c r="S221" s="265">
        <f t="shared" si="83"/>
        <v>1277.4</v>
      </c>
      <c r="T221" s="264">
        <f t="shared" si="83"/>
        <v>550.7</v>
      </c>
      <c r="U221" s="264">
        <f t="shared" si="83"/>
        <v>2361.8</v>
      </c>
      <c r="V221" s="264">
        <f t="shared" si="83"/>
        <v>14764.599999999997</v>
      </c>
      <c r="W221" s="264">
        <f t="shared" si="83"/>
        <v>4046.2999999999993</v>
      </c>
      <c r="X221" s="264">
        <f t="shared" si="83"/>
        <v>19193.98</v>
      </c>
      <c r="Y221" s="264">
        <f t="shared" si="83"/>
        <v>14115.138777777776</v>
      </c>
      <c r="Z221" s="264">
        <f t="shared" si="83"/>
        <v>9125.14122222222</v>
      </c>
      <c r="AA221" s="270">
        <f t="shared" si="83"/>
        <v>0</v>
      </c>
      <c r="AB221" s="271">
        <f t="shared" si="83"/>
        <v>3587.3499999999995</v>
      </c>
      <c r="AC221" s="274"/>
    </row>
    <row r="222" spans="1:28" s="2" customFormat="1" ht="12.75">
      <c r="A222" s="237"/>
      <c r="B222" s="235"/>
      <c r="C222" s="238"/>
      <c r="D222" s="238" t="s">
        <v>216</v>
      </c>
      <c r="E222" s="238"/>
      <c r="F222" s="238"/>
      <c r="G222" s="238"/>
      <c r="H222" s="238"/>
      <c r="I222" s="235">
        <f aca="true" t="shared" si="84" ref="I222:P222">I64+I113+I173+I221+I147</f>
        <v>181</v>
      </c>
      <c r="J222" s="235">
        <f t="shared" si="84"/>
        <v>703</v>
      </c>
      <c r="K222" s="235">
        <f t="shared" si="84"/>
        <v>2</v>
      </c>
      <c r="L222" s="235">
        <f t="shared" si="84"/>
        <v>10437</v>
      </c>
      <c r="M222" s="235">
        <f t="shared" si="84"/>
        <v>30030</v>
      </c>
      <c r="N222" s="257">
        <f t="shared" si="84"/>
        <v>643439.52</v>
      </c>
      <c r="O222" s="258">
        <f t="shared" si="84"/>
        <v>551839.4099999999</v>
      </c>
      <c r="P222" s="259">
        <f t="shared" si="84"/>
        <v>326978.66000000003</v>
      </c>
      <c r="Q222" s="237"/>
      <c r="R222" s="238"/>
      <c r="S222" s="238"/>
      <c r="T222" s="238"/>
      <c r="U222" s="238"/>
      <c r="V222" s="238"/>
      <c r="W222" s="238"/>
      <c r="X222" s="238"/>
      <c r="Y222" s="238"/>
      <c r="Z222" s="238"/>
      <c r="AA222" s="272"/>
      <c r="AB222" s="273"/>
    </row>
    <row r="223" spans="1:27" ht="13.5">
      <c r="A223" s="7"/>
      <c r="B223" s="8"/>
      <c r="C223" s="7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3"/>
      <c r="O223" s="43"/>
      <c r="P223" s="43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2">
      <c r="A224" s="7"/>
      <c r="B224" s="8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51"/>
      <c r="O224" s="51"/>
      <c r="P224" s="51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2">
      <c r="A225" s="7"/>
      <c r="B225" s="8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51"/>
      <c r="O225" s="51"/>
      <c r="P225" s="51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4.25" customHeight="1">
      <c r="A226" s="43"/>
      <c r="B226" s="239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s="3" customFormat="1" ht="13.5">
      <c r="A227" s="42"/>
      <c r="B227" s="239"/>
      <c r="C227" s="42"/>
      <c r="D227" s="42"/>
      <c r="E227" s="42"/>
      <c r="H227" s="42"/>
      <c r="I227" s="42"/>
      <c r="J227" s="42"/>
      <c r="K227" s="42"/>
      <c r="L227" s="42"/>
      <c r="N227" s="42"/>
      <c r="O227" s="43"/>
      <c r="P227" s="43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</row>
    <row r="228" spans="1:27" ht="12">
      <c r="A228" s="7"/>
      <c r="B228" s="8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51"/>
      <c r="O228" s="51"/>
      <c r="P228" s="51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7.25" customHeight="1">
      <c r="A229" s="7"/>
      <c r="B229" s="8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51"/>
      <c r="O229" s="51"/>
      <c r="P229" s="51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2">
      <c r="A230" s="240"/>
      <c r="B230" s="241"/>
      <c r="C230" s="240"/>
      <c r="D230" s="242"/>
      <c r="E230" s="7"/>
      <c r="F230" s="7"/>
      <c r="G230" s="7"/>
      <c r="H230" s="7"/>
      <c r="I230" s="7"/>
      <c r="J230" s="7"/>
      <c r="K230" s="7"/>
      <c r="L230" s="7"/>
      <c r="M230" s="7"/>
      <c r="N230" s="51"/>
      <c r="O230" s="51"/>
      <c r="P230" s="51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2">
      <c r="A231" s="240"/>
      <c r="B231" s="8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51"/>
      <c r="O231" s="51"/>
      <c r="P231" s="51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2">
      <c r="A232" s="7"/>
      <c r="B232" s="8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51"/>
      <c r="O232" s="51"/>
      <c r="P232" s="51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2">
      <c r="A233" s="7"/>
      <c r="B233" s="8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51"/>
      <c r="O233" s="51"/>
      <c r="P233" s="51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2">
      <c r="A234" s="7"/>
      <c r="B234" s="8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51"/>
      <c r="O234" s="51"/>
      <c r="P234" s="51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2">
      <c r="A235" s="7"/>
      <c r="B235" s="8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51"/>
      <c r="O235" s="51"/>
      <c r="P235" s="51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2">
      <c r="A236" s="7"/>
      <c r="B236" s="8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51"/>
      <c r="O236" s="51"/>
      <c r="P236" s="51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2">
      <c r="A237" s="7"/>
      <c r="B237" s="8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51"/>
      <c r="O237" s="51"/>
      <c r="P237" s="51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2">
      <c r="A238" s="7"/>
      <c r="B238" s="8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51"/>
      <c r="O238" s="51"/>
      <c r="P238" s="51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2">
      <c r="A239" s="7"/>
      <c r="B239" s="8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51"/>
      <c r="O239" s="51"/>
      <c r="P239" s="51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2">
      <c r="A240" s="7"/>
      <c r="B240" s="8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51"/>
      <c r="O240" s="51"/>
      <c r="P240" s="51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2">
      <c r="A241" s="7"/>
      <c r="B241" s="8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51"/>
      <c r="O241" s="51"/>
      <c r="P241" s="51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2">
      <c r="A242" s="7"/>
      <c r="B242" s="8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51"/>
      <c r="O242" s="51"/>
      <c r="P242" s="51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2">
      <c r="A243" s="7"/>
      <c r="B243" s="8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51"/>
      <c r="O243" s="51"/>
      <c r="P243" s="51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2">
      <c r="A244" s="7"/>
      <c r="B244" s="8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51"/>
      <c r="O244" s="51"/>
      <c r="P244" s="51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2">
      <c r="A245" s="7"/>
      <c r="B245" s="8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51"/>
      <c r="O245" s="51"/>
      <c r="P245" s="51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2">
      <c r="A246" s="7"/>
      <c r="B246" s="8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51"/>
      <c r="O246" s="51"/>
      <c r="P246" s="51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2">
      <c r="A247" s="7"/>
      <c r="B247" s="8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51"/>
      <c r="O247" s="51"/>
      <c r="P247" s="51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2">
      <c r="A248" s="7"/>
      <c r="B248" s="8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51"/>
      <c r="O248" s="51"/>
      <c r="P248" s="51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2">
      <c r="A249" s="7"/>
      <c r="B249" s="8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51"/>
      <c r="O249" s="51"/>
      <c r="P249" s="51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2">
      <c r="A250" s="7"/>
      <c r="B250" s="8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51"/>
      <c r="O250" s="51"/>
      <c r="P250" s="51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2">
      <c r="A251" s="7"/>
      <c r="B251" s="8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51"/>
      <c r="O251" s="51"/>
      <c r="P251" s="51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2">
      <c r="A252" s="7"/>
      <c r="B252" s="8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51"/>
      <c r="O252" s="51"/>
      <c r="P252" s="51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2">
      <c r="A253" s="7"/>
      <c r="B253" s="8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51"/>
      <c r="O253" s="51"/>
      <c r="P253" s="51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2">
      <c r="A254" s="7"/>
      <c r="B254" s="8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51"/>
      <c r="O254" s="51"/>
      <c r="P254" s="51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2">
      <c r="A255" s="7"/>
      <c r="B255" s="8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51"/>
      <c r="O255" s="51"/>
      <c r="P255" s="51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2">
      <c r="A256" s="7"/>
      <c r="B256" s="8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51"/>
      <c r="O256" s="51"/>
      <c r="P256" s="51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2">
      <c r="A257" s="7"/>
      <c r="B257" s="8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51"/>
      <c r="O257" s="51"/>
      <c r="P257" s="51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2">
      <c r="A258" s="7"/>
      <c r="B258" s="8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51"/>
      <c r="O258" s="51"/>
      <c r="P258" s="51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2">
      <c r="A259" s="7"/>
      <c r="B259" s="8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51"/>
      <c r="O259" s="51"/>
      <c r="P259" s="51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2">
      <c r="A260" s="7"/>
      <c r="B260" s="8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51"/>
      <c r="O260" s="51"/>
      <c r="P260" s="51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2">
      <c r="A261" s="7"/>
      <c r="B261" s="8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51"/>
      <c r="O261" s="51"/>
      <c r="P261" s="51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2">
      <c r="A262" s="7"/>
      <c r="B262" s="8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51"/>
      <c r="O262" s="51"/>
      <c r="P262" s="51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2">
      <c r="A263" s="7"/>
      <c r="B263" s="8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51"/>
      <c r="O263" s="51"/>
      <c r="P263" s="51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2">
      <c r="A264" s="7"/>
      <c r="B264" s="8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51"/>
      <c r="O264" s="51"/>
      <c r="P264" s="51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2">
      <c r="A265" s="7"/>
      <c r="B265" s="8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51"/>
      <c r="O265" s="51"/>
      <c r="P265" s="51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2">
      <c r="A266" s="7"/>
      <c r="B266" s="8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51"/>
      <c r="O266" s="51"/>
      <c r="P266" s="51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2">
      <c r="A267" s="7"/>
      <c r="B267" s="8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51"/>
      <c r="O267" s="51"/>
      <c r="P267" s="51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2">
      <c r="A268" s="7"/>
      <c r="B268" s="8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51"/>
      <c r="O268" s="51"/>
      <c r="P268" s="51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2">
      <c r="A269" s="7"/>
      <c r="B269" s="8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51"/>
      <c r="O269" s="51"/>
      <c r="P269" s="51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2">
      <c r="A270" s="7"/>
      <c r="B270" s="8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51"/>
      <c r="O270" s="51"/>
      <c r="P270" s="51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2">
      <c r="A271" s="7"/>
      <c r="B271" s="8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51"/>
      <c r="O271" s="51"/>
      <c r="P271" s="51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2">
      <c r="A272" s="7"/>
      <c r="B272" s="8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51"/>
      <c r="O272" s="51"/>
      <c r="P272" s="51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2">
      <c r="A273" s="7"/>
      <c r="B273" s="8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51"/>
      <c r="O273" s="51"/>
      <c r="P273" s="51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2">
      <c r="A274" s="7"/>
      <c r="B274" s="8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51"/>
      <c r="O274" s="51"/>
      <c r="P274" s="51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16" ht="12">
      <c r="A275" s="7"/>
      <c r="B275" s="8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51"/>
      <c r="O275" s="51"/>
      <c r="P275" s="51"/>
    </row>
    <row r="276" spans="1:16" ht="12">
      <c r="A276" s="7"/>
      <c r="B276" s="8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51"/>
      <c r="O276" s="51"/>
      <c r="P276" s="51"/>
    </row>
    <row r="277" spans="1:16" ht="12">
      <c r="A277" s="7"/>
      <c r="B277" s="8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51"/>
      <c r="O277" s="51"/>
      <c r="P277" s="51"/>
    </row>
    <row r="278" spans="1:16" ht="12">
      <c r="A278" s="7"/>
      <c r="B278" s="8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51"/>
      <c r="O278" s="51"/>
      <c r="P278" s="51"/>
    </row>
    <row r="279" spans="1:16" ht="12">
      <c r="A279" s="7"/>
      <c r="B279" s="8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51"/>
      <c r="O279" s="51"/>
      <c r="P279" s="51"/>
    </row>
    <row r="280" spans="1:16" ht="12">
      <c r="A280" s="7"/>
      <c r="B280" s="8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51"/>
      <c r="O280" s="51"/>
      <c r="P280" s="51"/>
    </row>
    <row r="281" spans="1:16" ht="12">
      <c r="A281" s="7"/>
      <c r="B281" s="8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51"/>
      <c r="O281" s="51"/>
      <c r="P281" s="51"/>
    </row>
    <row r="282" spans="1:16" ht="12">
      <c r="A282" s="7"/>
      <c r="B282" s="8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51"/>
      <c r="O282" s="51"/>
      <c r="P282" s="51"/>
    </row>
    <row r="283" spans="1:16" ht="12">
      <c r="A283" s="7"/>
      <c r="B283" s="8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51"/>
      <c r="O283" s="51"/>
      <c r="P283" s="51"/>
    </row>
    <row r="284" spans="1:16" ht="12">
      <c r="A284" s="7"/>
      <c r="B284" s="8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51"/>
      <c r="O284" s="51"/>
      <c r="P284" s="51"/>
    </row>
    <row r="285" spans="1:16" ht="12">
      <c r="A285" s="7"/>
      <c r="B285" s="8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51"/>
      <c r="O285" s="51"/>
      <c r="P285" s="51"/>
    </row>
    <row r="286" spans="1:16" ht="12">
      <c r="A286" s="7"/>
      <c r="B286" s="8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51"/>
      <c r="O286" s="51"/>
      <c r="P286" s="51"/>
    </row>
    <row r="287" spans="1:16" ht="12">
      <c r="A287" s="7"/>
      <c r="B287" s="8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51"/>
      <c r="O287" s="51"/>
      <c r="P287" s="51"/>
    </row>
  </sheetData>
  <sheetProtection/>
  <mergeCells count="27">
    <mergeCell ref="F2:U2"/>
    <mergeCell ref="F3:U3"/>
    <mergeCell ref="A5:P5"/>
    <mergeCell ref="Q6:W6"/>
    <mergeCell ref="Q7:R7"/>
    <mergeCell ref="S7:T7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7"/>
    <mergeCell ref="M6:M7"/>
    <mergeCell ref="N6:N8"/>
    <mergeCell ref="V7:V8"/>
    <mergeCell ref="W7:W8"/>
    <mergeCell ref="X6:X8"/>
    <mergeCell ref="Y6:Y8"/>
    <mergeCell ref="Z6:Z8"/>
    <mergeCell ref="O6:P7"/>
    <mergeCell ref="AA6:AB7"/>
  </mergeCells>
  <printOptions/>
  <pageMargins left="0.51" right="0" top="0.16" bottom="0.16" header="0.31" footer="0.31"/>
  <pageSetup horizontalDpi="600" verticalDpi="600" orientation="landscape" paperSize="9" scale="61"/>
  <colBreaks count="1" manualBreakCount="1">
    <brk id="2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ПТУ-39</dc:creator>
  <cp:keywords/>
  <dc:description/>
  <cp:lastModifiedBy>PTO2014</cp:lastModifiedBy>
  <cp:lastPrinted>2017-03-31T21:35:59Z</cp:lastPrinted>
  <dcterms:created xsi:type="dcterms:W3CDTF">2000-10-26T18:43:03Z</dcterms:created>
  <dcterms:modified xsi:type="dcterms:W3CDTF">2017-03-31T18:52:26Z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1049-10.1.0.5672</vt:lpwstr>
  </property>
  <property fmtid="{D5CDD505-2E9C-101B-9397-08002B2CF9AE}" pid="3" name="퀀_generated_2.-2147483648">
    <vt:i4>2052</vt:i4>
  </property>
</Properties>
</file>