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89\Desktop\2020\2019-2020\"/>
    </mc:Choice>
  </mc:AlternateContent>
  <bookViews>
    <workbookView xWindow="7550" yWindow="230" windowWidth="7550" windowHeight="8550" tabRatio="785"/>
  </bookViews>
  <sheets>
    <sheet name="01.01.2020 г.." sheetId="62" r:id="rId1"/>
  </sheets>
  <definedNames>
    <definedName name="_xlnm.Print_Titles" localSheetId="0">'01.01.2020 г..'!$6:$9</definedName>
    <definedName name="_xlnm.Print_Area" localSheetId="0">'01.01.2020 г..'!$A$1:$AB$236</definedName>
  </definedNames>
  <calcPr calcId="162913" fullCalcOnLoad="1"/>
</workbook>
</file>

<file path=xl/calcChain.xml><?xml version="1.0" encoding="utf-8"?>
<calcChain xmlns="http://schemas.openxmlformats.org/spreadsheetml/2006/main">
  <c r="U222" i="62" l="1"/>
  <c r="S204" i="62"/>
  <c r="N204" i="62" s="1"/>
  <c r="S202" i="62"/>
  <c r="S201" i="62"/>
  <c r="S197" i="62"/>
  <c r="U187" i="62"/>
  <c r="N183" i="62" s="1"/>
  <c r="S172" i="62"/>
  <c r="S171" i="62"/>
  <c r="N171" i="62" s="1"/>
  <c r="S140" i="62"/>
  <c r="U134" i="62"/>
  <c r="U149" i="62" s="1"/>
  <c r="S130" i="62"/>
  <c r="S120" i="62"/>
  <c r="N120" i="62" s="1"/>
  <c r="U113" i="62"/>
  <c r="U94" i="62"/>
  <c r="U89" i="62"/>
  <c r="U65" i="62"/>
  <c r="U64" i="62"/>
  <c r="U84" i="62"/>
  <c r="U83" i="62"/>
  <c r="U81" i="62"/>
  <c r="U80" i="62"/>
  <c r="U79" i="62"/>
  <c r="S56" i="62"/>
  <c r="S60" i="62"/>
  <c r="S61" i="62"/>
  <c r="S37" i="62"/>
  <c r="S12" i="62"/>
  <c r="S11" i="62"/>
  <c r="S21" i="62"/>
  <c r="L116" i="62"/>
  <c r="A180" i="62"/>
  <c r="A181" i="62" s="1"/>
  <c r="A182" i="62"/>
  <c r="A183" i="62" s="1"/>
  <c r="A184" i="62" s="1"/>
  <c r="A185" i="62" s="1"/>
  <c r="A186" i="62" s="1"/>
  <c r="A187" i="62" s="1"/>
  <c r="A188" i="62" s="1"/>
  <c r="A189" i="62" s="1"/>
  <c r="A190" i="62" s="1"/>
  <c r="A191" i="62" s="1"/>
  <c r="A192" i="62" s="1"/>
  <c r="A193" i="62" s="1"/>
  <c r="A194" i="62" s="1"/>
  <c r="A195" i="62" s="1"/>
  <c r="A196" i="62" s="1"/>
  <c r="A197" i="62" s="1"/>
  <c r="A198" i="62" s="1"/>
  <c r="A199" i="62" s="1"/>
  <c r="A200" i="62" s="1"/>
  <c r="A201" i="62" s="1"/>
  <c r="A202" i="62" s="1"/>
  <c r="A203" i="62" s="1"/>
  <c r="A204" i="62" s="1"/>
  <c r="A205" i="62" s="1"/>
  <c r="A206" i="62" s="1"/>
  <c r="A207" i="62" s="1"/>
  <c r="A208" i="62" s="1"/>
  <c r="A209" i="62" s="1"/>
  <c r="A210" i="62" s="1"/>
  <c r="A211" i="62" s="1"/>
  <c r="A212" i="62" s="1"/>
  <c r="A213" i="62" s="1"/>
  <c r="A214" i="62" s="1"/>
  <c r="A215" i="62" s="1"/>
  <c r="A216" i="62" s="1"/>
  <c r="A217" i="62" s="1"/>
  <c r="A218" i="62" s="1"/>
  <c r="A219" i="62" s="1"/>
  <c r="A220" i="62" s="1"/>
  <c r="A221" i="62" s="1"/>
  <c r="A222" i="62" s="1"/>
  <c r="A223" i="62" s="1"/>
  <c r="A224" i="62" s="1"/>
  <c r="A154" i="62"/>
  <c r="A155" i="62"/>
  <c r="A156" i="62" s="1"/>
  <c r="A157" i="62"/>
  <c r="A158" i="62" s="1"/>
  <c r="A159" i="62" s="1"/>
  <c r="A160" i="62" s="1"/>
  <c r="A161" i="62"/>
  <c r="A162" i="62" s="1"/>
  <c r="A163" i="62" s="1"/>
  <c r="A164" i="62" s="1"/>
  <c r="A165" i="62" s="1"/>
  <c r="A166" i="62" s="1"/>
  <c r="A167" i="62" s="1"/>
  <c r="A168" i="62" s="1"/>
  <c r="A169" i="62" s="1"/>
  <c r="A170" i="62" s="1"/>
  <c r="A171" i="62" s="1"/>
  <c r="A172" i="62" s="1"/>
  <c r="A173" i="62" s="1"/>
  <c r="A174" i="62" s="1"/>
  <c r="A175" i="62" s="1"/>
  <c r="A176" i="62" s="1"/>
  <c r="A121" i="62"/>
  <c r="A122" i="62" s="1"/>
  <c r="A123" i="62" s="1"/>
  <c r="A124" i="62" s="1"/>
  <c r="A125" i="62" s="1"/>
  <c r="A126" i="62" s="1"/>
  <c r="A127" i="62" s="1"/>
  <c r="A128" i="62" s="1"/>
  <c r="A129" i="62" s="1"/>
  <c r="A130" i="62" s="1"/>
  <c r="A131" i="62" s="1"/>
  <c r="A132" i="62" s="1"/>
  <c r="A133" i="62" s="1"/>
  <c r="A134" i="62" s="1"/>
  <c r="A135" i="62" s="1"/>
  <c r="A136" i="62" s="1"/>
  <c r="A137" i="62" s="1"/>
  <c r="A138" i="62" s="1"/>
  <c r="A139" i="62" s="1"/>
  <c r="A140" i="62" s="1"/>
  <c r="A141" i="62" s="1"/>
  <c r="A142" i="62" s="1"/>
  <c r="A143" i="62" s="1"/>
  <c r="A144" i="62" s="1"/>
  <c r="A145" i="62" s="1"/>
  <c r="A146" i="62" s="1"/>
  <c r="A147" i="62" s="1"/>
  <c r="A148" i="62" s="1"/>
  <c r="A88" i="62"/>
  <c r="A89" i="62" s="1"/>
  <c r="A90" i="62" s="1"/>
  <c r="A91" i="62" s="1"/>
  <c r="A92" i="62"/>
  <c r="A93" i="62" s="1"/>
  <c r="A94" i="62" s="1"/>
  <c r="A95" i="62" s="1"/>
  <c r="A96" i="62" s="1"/>
  <c r="A97" i="62" s="1"/>
  <c r="A98" i="62" s="1"/>
  <c r="A99" i="62" s="1"/>
  <c r="A100" i="62" s="1"/>
  <c r="A101" i="62" s="1"/>
  <c r="A102" i="62" s="1"/>
  <c r="A103" i="62" s="1"/>
  <c r="A104" i="62" s="1"/>
  <c r="A105" i="62" s="1"/>
  <c r="A106" i="62" s="1"/>
  <c r="A107" i="62" s="1"/>
  <c r="A108" i="62" s="1"/>
  <c r="A109" i="62" s="1"/>
  <c r="A110" i="62" s="1"/>
  <c r="A111" i="62" s="1"/>
  <c r="A112" i="62" s="1"/>
  <c r="A113" i="62" s="1"/>
  <c r="A114" i="62" s="1"/>
  <c r="A115" i="62" s="1"/>
  <c r="A80" i="62"/>
  <c r="A81" i="62" s="1"/>
  <c r="A82" i="62" s="1"/>
  <c r="A83" i="62" s="1"/>
  <c r="A84" i="62" s="1"/>
  <c r="P11" i="62"/>
  <c r="X11" i="62"/>
  <c r="P12" i="62"/>
  <c r="U21" i="62"/>
  <c r="V12" i="62"/>
  <c r="N13" i="62"/>
  <c r="X13" i="62"/>
  <c r="Y13" i="62"/>
  <c r="N14" i="62"/>
  <c r="P14" i="62"/>
  <c r="X14" i="62"/>
  <c r="Y14" i="62"/>
  <c r="N15" i="62"/>
  <c r="P15" i="62"/>
  <c r="X15" i="62"/>
  <c r="N16" i="62"/>
  <c r="P16" i="62"/>
  <c r="X16" i="62"/>
  <c r="Y16" i="62" s="1"/>
  <c r="P17" i="62"/>
  <c r="Q17" i="62"/>
  <c r="X17" i="62"/>
  <c r="N18" i="62"/>
  <c r="P18" i="62"/>
  <c r="X18" i="62"/>
  <c r="Y18" i="62"/>
  <c r="Z18" i="62" s="1"/>
  <c r="P19" i="62"/>
  <c r="V19" i="62"/>
  <c r="N20" i="62"/>
  <c r="P20" i="62"/>
  <c r="X20" i="62"/>
  <c r="I21" i="62"/>
  <c r="J21" i="62"/>
  <c r="K21" i="62"/>
  <c r="L21" i="62"/>
  <c r="M21" i="62"/>
  <c r="O21" i="62"/>
  <c r="R21" i="62"/>
  <c r="T21" i="62"/>
  <c r="AA21" i="62"/>
  <c r="AB21" i="62"/>
  <c r="P23" i="62"/>
  <c r="W23" i="62"/>
  <c r="X23" i="62"/>
  <c r="N24" i="62"/>
  <c r="P24" i="62"/>
  <c r="X24" i="62"/>
  <c r="Y24" i="62" s="1"/>
  <c r="Z24" i="62"/>
  <c r="N25" i="62"/>
  <c r="X25" i="62"/>
  <c r="N26" i="62"/>
  <c r="X26" i="62"/>
  <c r="Y26" i="62" s="1"/>
  <c r="N27" i="62"/>
  <c r="P27" i="62"/>
  <c r="X27" i="62"/>
  <c r="I28" i="62"/>
  <c r="J28" i="62"/>
  <c r="K28" i="62"/>
  <c r="L28" i="62"/>
  <c r="M28" i="62"/>
  <c r="O28" i="62"/>
  <c r="Q28" i="62"/>
  <c r="R28" i="62"/>
  <c r="S28" i="62"/>
  <c r="T28" i="62"/>
  <c r="U28" i="62"/>
  <c r="V28" i="62"/>
  <c r="AA28" i="62"/>
  <c r="AB28" i="62"/>
  <c r="O30" i="62"/>
  <c r="O35" i="62"/>
  <c r="N30" i="62"/>
  <c r="P30" i="62"/>
  <c r="X30" i="62"/>
  <c r="Y30" i="62"/>
  <c r="N31" i="62"/>
  <c r="X31" i="62"/>
  <c r="Y31" i="62" s="1"/>
  <c r="N32" i="62"/>
  <c r="P32" i="62"/>
  <c r="X32" i="62"/>
  <c r="X35" i="62" s="1"/>
  <c r="N33" i="62"/>
  <c r="P33" i="62"/>
  <c r="P35" i="62" s="1"/>
  <c r="X33" i="62"/>
  <c r="Y33" i="62"/>
  <c r="Z33" i="62" s="1"/>
  <c r="N34" i="62"/>
  <c r="X34" i="62"/>
  <c r="I35" i="62"/>
  <c r="J35" i="62"/>
  <c r="K35" i="62"/>
  <c r="L35" i="62"/>
  <c r="M35" i="62"/>
  <c r="Q35" i="62"/>
  <c r="R35" i="62"/>
  <c r="S35" i="62"/>
  <c r="T35" i="62"/>
  <c r="U35" i="62"/>
  <c r="V35" i="62"/>
  <c r="W35" i="62"/>
  <c r="AA35" i="62"/>
  <c r="AB35" i="62"/>
  <c r="X37" i="62"/>
  <c r="N38" i="62"/>
  <c r="P38" i="62"/>
  <c r="X38" i="62"/>
  <c r="N39" i="62"/>
  <c r="P39" i="62"/>
  <c r="X39" i="62"/>
  <c r="Y39" i="62" s="1"/>
  <c r="N40" i="62"/>
  <c r="P40" i="62"/>
  <c r="X40" i="62"/>
  <c r="Y40" i="62" s="1"/>
  <c r="N41" i="62"/>
  <c r="P41" i="62"/>
  <c r="X41" i="62"/>
  <c r="Y41" i="62" s="1"/>
  <c r="N42" i="62"/>
  <c r="P42" i="62"/>
  <c r="X42" i="62"/>
  <c r="Z42" i="62" s="1"/>
  <c r="N43" i="62"/>
  <c r="X43" i="62"/>
  <c r="Z43" i="62" s="1"/>
  <c r="N44" i="62"/>
  <c r="P44" i="62"/>
  <c r="X44" i="62"/>
  <c r="N45" i="62"/>
  <c r="X45" i="62"/>
  <c r="N46" i="62"/>
  <c r="P46" i="62"/>
  <c r="X46" i="62"/>
  <c r="Y46" i="62"/>
  <c r="Z46" i="62" s="1"/>
  <c r="I47" i="62"/>
  <c r="I67" i="62" s="1"/>
  <c r="I226" i="62" s="1"/>
  <c r="J47" i="62"/>
  <c r="K47" i="62"/>
  <c r="L47" i="62"/>
  <c r="M47" i="62"/>
  <c r="O47" i="62"/>
  <c r="Q47" i="62"/>
  <c r="R47" i="62"/>
  <c r="T47" i="62"/>
  <c r="T67" i="62" s="1"/>
  <c r="T226" i="62" s="1"/>
  <c r="V47" i="62"/>
  <c r="W47" i="62"/>
  <c r="AA47" i="62"/>
  <c r="AB47" i="62"/>
  <c r="N49" i="62"/>
  <c r="N50" i="62"/>
  <c r="X49" i="62"/>
  <c r="X50" i="62"/>
  <c r="I50" i="62"/>
  <c r="J50" i="62"/>
  <c r="K50" i="62"/>
  <c r="L50" i="62"/>
  <c r="L67" i="62" s="1"/>
  <c r="L226" i="62" s="1"/>
  <c r="M50" i="62"/>
  <c r="O50" i="62"/>
  <c r="O67" i="62" s="1"/>
  <c r="P50" i="62"/>
  <c r="Q50" i="62"/>
  <c r="R50" i="62"/>
  <c r="S50" i="62"/>
  <c r="T50" i="62"/>
  <c r="U50" i="62"/>
  <c r="V50" i="62"/>
  <c r="W50" i="62"/>
  <c r="AA50" i="62"/>
  <c r="AB50" i="62"/>
  <c r="N52" i="62"/>
  <c r="X52" i="62"/>
  <c r="N53" i="62"/>
  <c r="P53" i="62"/>
  <c r="P54" i="62" s="1"/>
  <c r="X53" i="62"/>
  <c r="I54" i="62"/>
  <c r="J54" i="62"/>
  <c r="K54" i="62"/>
  <c r="L54" i="62"/>
  <c r="M54" i="62"/>
  <c r="O54" i="62"/>
  <c r="Q54" i="62"/>
  <c r="R54" i="62"/>
  <c r="S54" i="62"/>
  <c r="T54" i="62"/>
  <c r="U54" i="62"/>
  <c r="V54" i="62"/>
  <c r="W54" i="62"/>
  <c r="AA54" i="62"/>
  <c r="AB54" i="62"/>
  <c r="N56" i="62"/>
  <c r="N58" i="62" s="1"/>
  <c r="X56" i="62"/>
  <c r="I58" i="62"/>
  <c r="J58" i="62"/>
  <c r="L58" i="62"/>
  <c r="M58" i="62"/>
  <c r="O58" i="62"/>
  <c r="P58" i="62"/>
  <c r="S58" i="62"/>
  <c r="U58" i="62"/>
  <c r="V58" i="62"/>
  <c r="W58" i="62"/>
  <c r="AA58" i="62"/>
  <c r="AB58" i="62"/>
  <c r="W60" i="62"/>
  <c r="X60" i="62"/>
  <c r="X61" i="62"/>
  <c r="I61" i="62"/>
  <c r="J61" i="62"/>
  <c r="L61" i="62"/>
  <c r="M61" i="62"/>
  <c r="O61" i="62"/>
  <c r="P61" i="62"/>
  <c r="U61" i="62"/>
  <c r="V61" i="62"/>
  <c r="AA61" i="62"/>
  <c r="N63" i="62"/>
  <c r="X63" i="62"/>
  <c r="Y63" i="62"/>
  <c r="X64" i="62"/>
  <c r="Y64" i="62"/>
  <c r="N65" i="62"/>
  <c r="X65" i="62"/>
  <c r="Y65" i="62" s="1"/>
  <c r="Z65" i="62"/>
  <c r="AA65" i="62"/>
  <c r="I66" i="62"/>
  <c r="J66" i="62"/>
  <c r="K66" i="62"/>
  <c r="L66" i="62"/>
  <c r="M66" i="62"/>
  <c r="O66" i="62"/>
  <c r="P66" i="62"/>
  <c r="O69" i="62"/>
  <c r="P69" i="62"/>
  <c r="S69" i="62"/>
  <c r="S77" i="62"/>
  <c r="T77" i="62"/>
  <c r="X69" i="62"/>
  <c r="Y69" i="62" s="1"/>
  <c r="N70" i="62"/>
  <c r="P70" i="62"/>
  <c r="X70" i="62"/>
  <c r="Y70" i="62"/>
  <c r="Z70" i="62" s="1"/>
  <c r="N71" i="62"/>
  <c r="N77" i="62" s="1"/>
  <c r="X71" i="62"/>
  <c r="Y71" i="62"/>
  <c r="Z71" i="62" s="1"/>
  <c r="N72" i="62"/>
  <c r="X72" i="62"/>
  <c r="Y72" i="62"/>
  <c r="Z72" i="62" s="1"/>
  <c r="N73" i="62"/>
  <c r="X73" i="62"/>
  <c r="Y73" i="62"/>
  <c r="Z73" i="62" s="1"/>
  <c r="N74" i="62"/>
  <c r="X74" i="62"/>
  <c r="Y74" i="62"/>
  <c r="Z74" i="62" s="1"/>
  <c r="N75" i="62"/>
  <c r="P75" i="62"/>
  <c r="X75" i="62"/>
  <c r="Z75" i="62" s="1"/>
  <c r="N76" i="62"/>
  <c r="X76" i="62"/>
  <c r="Y76" i="62" s="1"/>
  <c r="Y77" i="62" s="1"/>
  <c r="I77" i="62"/>
  <c r="J77" i="62"/>
  <c r="K77" i="62"/>
  <c r="L77" i="62"/>
  <c r="M77" i="62"/>
  <c r="Q77" i="62"/>
  <c r="R77" i="62"/>
  <c r="U77" i="62"/>
  <c r="V77" i="62"/>
  <c r="W77" i="62"/>
  <c r="W118" i="62" s="1"/>
  <c r="AA77" i="62"/>
  <c r="AB77" i="62"/>
  <c r="X79" i="62"/>
  <c r="Y79" i="62"/>
  <c r="Z79" i="62" s="1"/>
  <c r="O80" i="62"/>
  <c r="P80" i="62"/>
  <c r="X80" i="62"/>
  <c r="P81" i="62"/>
  <c r="X81" i="62"/>
  <c r="Y81" i="62"/>
  <c r="N82" i="62"/>
  <c r="P82" i="62"/>
  <c r="T85" i="62"/>
  <c r="X82" i="62"/>
  <c r="Y82" i="62" s="1"/>
  <c r="N83" i="62"/>
  <c r="P83" i="62"/>
  <c r="X83" i="62"/>
  <c r="Q84" i="62"/>
  <c r="Q85" i="62"/>
  <c r="R84" i="62"/>
  <c r="R85" i="62"/>
  <c r="R151" i="62" s="1"/>
  <c r="X84" i="62"/>
  <c r="Y84" i="62"/>
  <c r="Z84" i="62" s="1"/>
  <c r="I85" i="62"/>
  <c r="I151" i="62" s="1"/>
  <c r="J85" i="62"/>
  <c r="K85" i="62"/>
  <c r="K151" i="62"/>
  <c r="L85" i="62"/>
  <c r="M85" i="62"/>
  <c r="M151" i="62" s="1"/>
  <c r="S85" i="62"/>
  <c r="V85" i="62"/>
  <c r="W85" i="62"/>
  <c r="W151" i="62" s="1"/>
  <c r="AA85" i="62"/>
  <c r="AA151" i="62"/>
  <c r="AA226" i="62" s="1"/>
  <c r="AB85" i="62"/>
  <c r="O87" i="62"/>
  <c r="N87" i="62" s="1"/>
  <c r="P87" i="62"/>
  <c r="X87" i="62"/>
  <c r="AB87" i="62"/>
  <c r="AB116" i="62" s="1"/>
  <c r="N88" i="62"/>
  <c r="P88" i="62"/>
  <c r="X88" i="62"/>
  <c r="Y88" i="62" s="1"/>
  <c r="N89" i="62"/>
  <c r="P89" i="62"/>
  <c r="X89" i="62"/>
  <c r="Y89" i="62" s="1"/>
  <c r="Z89" i="62"/>
  <c r="N90" i="62"/>
  <c r="P90" i="62"/>
  <c r="X90" i="62"/>
  <c r="Z90" i="62"/>
  <c r="O91" i="62"/>
  <c r="N91" i="62"/>
  <c r="P91" i="62"/>
  <c r="X91" i="62"/>
  <c r="Y91" i="62" s="1"/>
  <c r="Z91" i="62" s="1"/>
  <c r="N92" i="62"/>
  <c r="P92" i="62"/>
  <c r="X92" i="62"/>
  <c r="N93" i="62"/>
  <c r="X93" i="62"/>
  <c r="Y93" i="62"/>
  <c r="Z93" i="62" s="1"/>
  <c r="P94" i="62"/>
  <c r="X94" i="62"/>
  <c r="Y94" i="62" s="1"/>
  <c r="N95" i="62"/>
  <c r="P95" i="62"/>
  <c r="X95" i="62"/>
  <c r="Y95" i="62"/>
  <c r="Z95" i="62" s="1"/>
  <c r="N96" i="62"/>
  <c r="P96" i="62"/>
  <c r="X96" i="62"/>
  <c r="Y96" i="62" s="1"/>
  <c r="N97" i="62"/>
  <c r="P97" i="62"/>
  <c r="X97" i="62"/>
  <c r="Y97" i="62"/>
  <c r="Z97" i="62" s="1"/>
  <c r="N98" i="62"/>
  <c r="P98" i="62"/>
  <c r="X98" i="62"/>
  <c r="Y98" i="62" s="1"/>
  <c r="N99" i="62"/>
  <c r="P99" i="62"/>
  <c r="X99" i="62"/>
  <c r="Y99" i="62"/>
  <c r="N100" i="62"/>
  <c r="P100" i="62"/>
  <c r="X100" i="62"/>
  <c r="N101" i="62"/>
  <c r="P101" i="62"/>
  <c r="X101" i="62"/>
  <c r="Y101" i="62" s="1"/>
  <c r="Z101" i="62"/>
  <c r="N102" i="62"/>
  <c r="P102" i="62"/>
  <c r="X102" i="62"/>
  <c r="Y102" i="62"/>
  <c r="Z102" i="62" s="1"/>
  <c r="N103" i="62"/>
  <c r="P103" i="62"/>
  <c r="X103" i="62"/>
  <c r="N104" i="62"/>
  <c r="P104" i="62"/>
  <c r="X104" i="62"/>
  <c r="Y104" i="62" s="1"/>
  <c r="N105" i="62"/>
  <c r="P105" i="62"/>
  <c r="X105" i="62"/>
  <c r="N106" i="62"/>
  <c r="P106" i="62"/>
  <c r="R116" i="62"/>
  <c r="R118" i="62" s="1"/>
  <c r="X106" i="62"/>
  <c r="Y106" i="62" s="1"/>
  <c r="AA106" i="62"/>
  <c r="AA116" i="62" s="1"/>
  <c r="AA118" i="62" s="1"/>
  <c r="N107" i="62"/>
  <c r="X107" i="62"/>
  <c r="Y107" i="62"/>
  <c r="Z107" i="62" s="1"/>
  <c r="N108" i="62"/>
  <c r="X108" i="62"/>
  <c r="N109" i="62"/>
  <c r="P109" i="62"/>
  <c r="X109" i="62"/>
  <c r="N110" i="62"/>
  <c r="P110" i="62"/>
  <c r="X110" i="62"/>
  <c r="Y110" i="62"/>
  <c r="Z110" i="62" s="1"/>
  <c r="N111" i="62"/>
  <c r="X111" i="62"/>
  <c r="Y111" i="62" s="1"/>
  <c r="Z111" i="62"/>
  <c r="N112" i="62"/>
  <c r="X112" i="62"/>
  <c r="Y112" i="62" s="1"/>
  <c r="Z112" i="62" s="1"/>
  <c r="N113" i="62"/>
  <c r="X113" i="62"/>
  <c r="Y113" i="62" s="1"/>
  <c r="N114" i="62"/>
  <c r="X114" i="62"/>
  <c r="N115" i="62"/>
  <c r="X115" i="62"/>
  <c r="Y115" i="62" s="1"/>
  <c r="I116" i="62"/>
  <c r="J116" i="62"/>
  <c r="K116" i="62"/>
  <c r="K118" i="62" s="1"/>
  <c r="M116" i="62"/>
  <c r="Q116" i="62"/>
  <c r="Q118" i="62" s="1"/>
  <c r="S116" i="62"/>
  <c r="T116" i="62"/>
  <c r="V116" i="62"/>
  <c r="W116" i="62"/>
  <c r="L120" i="62"/>
  <c r="P120" i="62"/>
  <c r="X120" i="62"/>
  <c r="N121" i="62"/>
  <c r="P121" i="62"/>
  <c r="X121" i="62"/>
  <c r="N122" i="62"/>
  <c r="X122" i="62"/>
  <c r="Y122" i="62"/>
  <c r="N123" i="62"/>
  <c r="P123" i="62"/>
  <c r="X123" i="62"/>
  <c r="P124" i="62"/>
  <c r="W124" i="62"/>
  <c r="X124" i="62"/>
  <c r="N125" i="62"/>
  <c r="P125" i="62"/>
  <c r="X125" i="62"/>
  <c r="O126" i="62"/>
  <c r="N126" i="62" s="1"/>
  <c r="P126" i="62"/>
  <c r="X126" i="62"/>
  <c r="N127" i="62"/>
  <c r="P127" i="62"/>
  <c r="X127" i="62"/>
  <c r="Y127" i="62" s="1"/>
  <c r="Z127" i="62" s="1"/>
  <c r="M149" i="62"/>
  <c r="N128" i="62"/>
  <c r="X128" i="62"/>
  <c r="Y128" i="62"/>
  <c r="Z128" i="62" s="1"/>
  <c r="N129" i="62"/>
  <c r="P129" i="62"/>
  <c r="X129" i="62"/>
  <c r="Y129" i="62"/>
  <c r="N130" i="62"/>
  <c r="P130" i="62"/>
  <c r="X130" i="62"/>
  <c r="Y130" i="62"/>
  <c r="Z130" i="62" s="1"/>
  <c r="N131" i="62"/>
  <c r="X131" i="62"/>
  <c r="Y131" i="62"/>
  <c r="Z131" i="62" s="1"/>
  <c r="N132" i="62"/>
  <c r="P132" i="62"/>
  <c r="X132" i="62"/>
  <c r="Y132" i="62" s="1"/>
  <c r="Z132" i="62" s="1"/>
  <c r="N133" i="62"/>
  <c r="P133" i="62"/>
  <c r="X133" i="62"/>
  <c r="Y133" i="62"/>
  <c r="Z133" i="62" s="1"/>
  <c r="P134" i="62"/>
  <c r="X134" i="62"/>
  <c r="Y134" i="62" s="1"/>
  <c r="Z134" i="62"/>
  <c r="N135" i="62"/>
  <c r="P135" i="62"/>
  <c r="X135" i="62"/>
  <c r="Y135" i="62"/>
  <c r="Z135" i="62" s="1"/>
  <c r="N136" i="62"/>
  <c r="P136" i="62"/>
  <c r="X136" i="62"/>
  <c r="N137" i="62"/>
  <c r="P137" i="62"/>
  <c r="X137" i="62"/>
  <c r="N138" i="62"/>
  <c r="P138" i="62"/>
  <c r="X138" i="62"/>
  <c r="Y138" i="62" s="1"/>
  <c r="N139" i="62"/>
  <c r="X139" i="62"/>
  <c r="L140" i="62"/>
  <c r="N140" i="62"/>
  <c r="P140" i="62"/>
  <c r="X140" i="62"/>
  <c r="Y140" i="62" s="1"/>
  <c r="Z140" i="62"/>
  <c r="N141" i="62"/>
  <c r="P141" i="62"/>
  <c r="X141" i="62"/>
  <c r="Y141" i="62"/>
  <c r="Z141" i="62" s="1"/>
  <c r="O142" i="62"/>
  <c r="N142" i="62"/>
  <c r="P142" i="62"/>
  <c r="X142" i="62"/>
  <c r="Y142" i="62" s="1"/>
  <c r="Z142" i="62" s="1"/>
  <c r="N143" i="62"/>
  <c r="P143" i="62"/>
  <c r="X143" i="62"/>
  <c r="Y143" i="62"/>
  <c r="Z143" i="62" s="1"/>
  <c r="N144" i="62"/>
  <c r="P144" i="62"/>
  <c r="X144" i="62"/>
  <c r="Y144" i="62"/>
  <c r="Z144" i="62" s="1"/>
  <c r="N145" i="62"/>
  <c r="P145" i="62"/>
  <c r="X145" i="62"/>
  <c r="N146" i="62"/>
  <c r="P146" i="62"/>
  <c r="X146" i="62"/>
  <c r="Y146" i="62"/>
  <c r="Z146" i="62" s="1"/>
  <c r="N147" i="62"/>
  <c r="X147" i="62"/>
  <c r="Y147" i="62"/>
  <c r="Z147" i="62" s="1"/>
  <c r="N148" i="62"/>
  <c r="P148" i="62"/>
  <c r="X148" i="62"/>
  <c r="I149" i="62"/>
  <c r="J149" i="62"/>
  <c r="K149" i="62"/>
  <c r="Q149" i="62"/>
  <c r="R149" i="62"/>
  <c r="V149" i="62"/>
  <c r="AA149" i="62"/>
  <c r="AB149" i="62"/>
  <c r="AB151" i="62" s="1"/>
  <c r="N153" i="62"/>
  <c r="P153" i="62"/>
  <c r="X153" i="62"/>
  <c r="N154" i="62"/>
  <c r="X154" i="62"/>
  <c r="N155" i="62"/>
  <c r="P155" i="62"/>
  <c r="X155" i="62"/>
  <c r="Y155" i="62"/>
  <c r="Z155" i="62" s="1"/>
  <c r="N156" i="62"/>
  <c r="P156" i="62"/>
  <c r="X156" i="62"/>
  <c r="N157" i="62"/>
  <c r="P157" i="62"/>
  <c r="X157" i="62"/>
  <c r="N158" i="62"/>
  <c r="P158" i="62"/>
  <c r="X158" i="62"/>
  <c r="N159" i="62"/>
  <c r="P159" i="62"/>
  <c r="X159" i="62"/>
  <c r="Y159" i="62" s="1"/>
  <c r="L160" i="62"/>
  <c r="N160" i="62"/>
  <c r="P160" i="62"/>
  <c r="X160" i="62"/>
  <c r="M161" i="62"/>
  <c r="M177" i="62" s="1"/>
  <c r="O161" i="62"/>
  <c r="N161" i="62" s="1"/>
  <c r="P161" i="62"/>
  <c r="X161" i="62"/>
  <c r="Y161" i="62"/>
  <c r="Z161" i="62" s="1"/>
  <c r="M162" i="62"/>
  <c r="O162" i="62"/>
  <c r="N162" i="62" s="1"/>
  <c r="N177" i="62" s="1"/>
  <c r="P162" i="62"/>
  <c r="X162" i="62"/>
  <c r="Y162" i="62"/>
  <c r="Z162" i="62" s="1"/>
  <c r="O163" i="62"/>
  <c r="N163" i="62" s="1"/>
  <c r="P163" i="62"/>
  <c r="X163" i="62"/>
  <c r="Y163" i="62"/>
  <c r="Z163" i="62" s="1"/>
  <c r="L164" i="62"/>
  <c r="O164" i="62"/>
  <c r="N164" i="62" s="1"/>
  <c r="P164" i="62"/>
  <c r="X164" i="62"/>
  <c r="Y164" i="62"/>
  <c r="Z164" i="62" s="1"/>
  <c r="N165" i="62"/>
  <c r="X165" i="62"/>
  <c r="N166" i="62"/>
  <c r="P166" i="62"/>
  <c r="X166" i="62"/>
  <c r="Y166" i="62" s="1"/>
  <c r="N167" i="62"/>
  <c r="P167" i="62"/>
  <c r="X167" i="62"/>
  <c r="Y167" i="62"/>
  <c r="Z167" i="62" s="1"/>
  <c r="N168" i="62"/>
  <c r="P168" i="62"/>
  <c r="X168" i="62"/>
  <c r="Y168" i="62"/>
  <c r="Z168" i="62" s="1"/>
  <c r="N169" i="62"/>
  <c r="P169" i="62"/>
  <c r="X169" i="62"/>
  <c r="N170" i="62"/>
  <c r="P170" i="62"/>
  <c r="X170" i="62"/>
  <c r="Y170" i="62" s="1"/>
  <c r="Z170" i="62"/>
  <c r="P171" i="62"/>
  <c r="X171" i="62"/>
  <c r="L172" i="62"/>
  <c r="N172" i="62"/>
  <c r="P172" i="62"/>
  <c r="X172" i="62"/>
  <c r="Y172" i="62"/>
  <c r="Z172" i="62" s="1"/>
  <c r="O173" i="62"/>
  <c r="N173" i="62" s="1"/>
  <c r="P173" i="62"/>
  <c r="X173" i="62"/>
  <c r="Y173" i="62"/>
  <c r="Z173" i="62" s="1"/>
  <c r="N174" i="62"/>
  <c r="P174" i="62"/>
  <c r="X174" i="62"/>
  <c r="Y174" i="62"/>
  <c r="Z174" i="62" s="1"/>
  <c r="N175" i="62"/>
  <c r="X175" i="62"/>
  <c r="Y175" i="62"/>
  <c r="Z175" i="62" s="1"/>
  <c r="N176" i="62"/>
  <c r="X176" i="62"/>
  <c r="Y176" i="62" s="1"/>
  <c r="I177" i="62"/>
  <c r="J177" i="62"/>
  <c r="K177" i="62"/>
  <c r="Q177" i="62"/>
  <c r="R177" i="62"/>
  <c r="U177" i="62"/>
  <c r="V177" i="62"/>
  <c r="W177" i="62"/>
  <c r="AA177" i="62"/>
  <c r="AB177" i="62"/>
  <c r="N179" i="62"/>
  <c r="P179" i="62"/>
  <c r="X179" i="62"/>
  <c r="Y179" i="62"/>
  <c r="O180" i="62"/>
  <c r="N180" i="62"/>
  <c r="P180" i="62"/>
  <c r="X180" i="62"/>
  <c r="O181" i="62"/>
  <c r="P181" i="62"/>
  <c r="X181" i="62"/>
  <c r="Y181" i="62"/>
  <c r="Z181" i="62" s="1"/>
  <c r="N182" i="62"/>
  <c r="P182" i="62"/>
  <c r="X182" i="62"/>
  <c r="Y182" i="62" s="1"/>
  <c r="P183" i="62"/>
  <c r="X183" i="62"/>
  <c r="N184" i="62"/>
  <c r="X184" i="62"/>
  <c r="O185" i="62"/>
  <c r="N185" i="62" s="1"/>
  <c r="P185" i="62"/>
  <c r="P225" i="62" s="1"/>
  <c r="X185" i="62"/>
  <c r="Y185" i="62"/>
  <c r="Z185" i="62" s="1"/>
  <c r="O186" i="62"/>
  <c r="N186" i="62" s="1"/>
  <c r="P186" i="62"/>
  <c r="X186" i="62"/>
  <c r="N187" i="62"/>
  <c r="P187" i="62"/>
  <c r="X187" i="62"/>
  <c r="Z187" i="62" s="1"/>
  <c r="N188" i="62"/>
  <c r="P188" i="62"/>
  <c r="X188" i="62"/>
  <c r="Y188" i="62"/>
  <c r="Z188" i="62" s="1"/>
  <c r="N189" i="62"/>
  <c r="P189" i="62"/>
  <c r="X189" i="62"/>
  <c r="Y189" i="62"/>
  <c r="Z189" i="62" s="1"/>
  <c r="N190" i="62"/>
  <c r="P190" i="62"/>
  <c r="X190" i="62"/>
  <c r="O191" i="62"/>
  <c r="N191" i="62" s="1"/>
  <c r="X191" i="62"/>
  <c r="O192" i="62"/>
  <c r="N192" i="62"/>
  <c r="P192" i="62"/>
  <c r="X192" i="62"/>
  <c r="Y192" i="62" s="1"/>
  <c r="Z192" i="62"/>
  <c r="N193" i="62"/>
  <c r="P193" i="62"/>
  <c r="X193" i="62"/>
  <c r="Y193" i="62"/>
  <c r="N194" i="62"/>
  <c r="P194" i="62"/>
  <c r="X194" i="62"/>
  <c r="Y194" i="62"/>
  <c r="N195" i="62"/>
  <c r="X195" i="62"/>
  <c r="Y195" i="62" s="1"/>
  <c r="N196" i="62"/>
  <c r="P196" i="62"/>
  <c r="X196" i="62"/>
  <c r="Y196" i="62"/>
  <c r="N197" i="62"/>
  <c r="X197" i="62"/>
  <c r="Y197" i="62" s="1"/>
  <c r="O198" i="62"/>
  <c r="N198" i="62" s="1"/>
  <c r="P198" i="62"/>
  <c r="X198" i="62"/>
  <c r="Y198" i="62"/>
  <c r="N199" i="62"/>
  <c r="P199" i="62"/>
  <c r="X199" i="62"/>
  <c r="N200" i="62"/>
  <c r="P200" i="62"/>
  <c r="X200" i="62"/>
  <c r="Y200" i="62" s="1"/>
  <c r="Z200" i="62" s="1"/>
  <c r="P201" i="62"/>
  <c r="X201" i="62"/>
  <c r="Y201" i="62"/>
  <c r="N202" i="62"/>
  <c r="P202" i="62"/>
  <c r="X202" i="62"/>
  <c r="Y202" i="62"/>
  <c r="Z202" i="62" s="1"/>
  <c r="N203" i="62"/>
  <c r="P203" i="62"/>
  <c r="X203" i="62"/>
  <c r="X204" i="62"/>
  <c r="N205" i="62"/>
  <c r="P205" i="62"/>
  <c r="X205" i="62"/>
  <c r="Y205" i="62" s="1"/>
  <c r="Z205" i="62"/>
  <c r="O206" i="62"/>
  <c r="N206" i="62"/>
  <c r="P206" i="62"/>
  <c r="X206" i="62"/>
  <c r="Y206" i="62" s="1"/>
  <c r="Z206" i="62" s="1"/>
  <c r="N207" i="62"/>
  <c r="P207" i="62"/>
  <c r="X207" i="62"/>
  <c r="Y207" i="62"/>
  <c r="N208" i="62"/>
  <c r="P208" i="62"/>
  <c r="X208" i="62"/>
  <c r="O209" i="62"/>
  <c r="N209" i="62" s="1"/>
  <c r="P209" i="62"/>
  <c r="X209" i="62"/>
  <c r="O210" i="62"/>
  <c r="N210" i="62" s="1"/>
  <c r="P210" i="62"/>
  <c r="X210" i="62"/>
  <c r="Y210" i="62"/>
  <c r="Z210" i="62" s="1"/>
  <c r="N211" i="62"/>
  <c r="P211" i="62"/>
  <c r="X211" i="62"/>
  <c r="Y211" i="62" s="1"/>
  <c r="Z211" i="62"/>
  <c r="N212" i="62"/>
  <c r="P212" i="62"/>
  <c r="X212" i="62"/>
  <c r="O213" i="62"/>
  <c r="N213" i="62" s="1"/>
  <c r="X213" i="62"/>
  <c r="N214" i="62"/>
  <c r="P214" i="62"/>
  <c r="X214" i="62"/>
  <c r="Y214" i="62" s="1"/>
  <c r="N215" i="62"/>
  <c r="P215" i="62"/>
  <c r="X215" i="62"/>
  <c r="Y215" i="62" s="1"/>
  <c r="Z215" i="62"/>
  <c r="O216" i="62"/>
  <c r="N216" i="62"/>
  <c r="P216" i="62"/>
  <c r="X216" i="62"/>
  <c r="Y216" i="62" s="1"/>
  <c r="Z216" i="62" s="1"/>
  <c r="N217" i="62"/>
  <c r="P217" i="62"/>
  <c r="X217" i="62"/>
  <c r="Y217" i="62"/>
  <c r="N218" i="62"/>
  <c r="P218" i="62"/>
  <c r="X218" i="62"/>
  <c r="Y218" i="62"/>
  <c r="Z218" i="62" s="1"/>
  <c r="N219" i="62"/>
  <c r="O219" i="62"/>
  <c r="P219" i="62"/>
  <c r="X219" i="62"/>
  <c r="Y219" i="62"/>
  <c r="Z219" i="62" s="1"/>
  <c r="N220" i="62"/>
  <c r="P220" i="62"/>
  <c r="X220" i="62"/>
  <c r="Y220" i="62" s="1"/>
  <c r="N221" i="62"/>
  <c r="P221" i="62"/>
  <c r="X221" i="62"/>
  <c r="Y221" i="62" s="1"/>
  <c r="N222" i="62"/>
  <c r="P222" i="62"/>
  <c r="X222" i="62"/>
  <c r="Y222" i="62" s="1"/>
  <c r="N223" i="62"/>
  <c r="P223" i="62"/>
  <c r="X223" i="62"/>
  <c r="Y223" i="62"/>
  <c r="Z223" i="62" s="1"/>
  <c r="N224" i="62"/>
  <c r="X224" i="62"/>
  <c r="I225" i="62"/>
  <c r="J225" i="62"/>
  <c r="K225" i="62"/>
  <c r="L225" i="62"/>
  <c r="M225" i="62"/>
  <c r="Q225" i="62"/>
  <c r="R225" i="62"/>
  <c r="T225" i="62"/>
  <c r="V225" i="62"/>
  <c r="W225" i="62"/>
  <c r="AA225" i="62"/>
  <c r="AB225" i="62"/>
  <c r="Z129" i="62"/>
  <c r="O77" i="62"/>
  <c r="Y80" i="62"/>
  <c r="Z80" i="62" s="1"/>
  <c r="Y171" i="62"/>
  <c r="Z171" i="62" s="1"/>
  <c r="Y165" i="62"/>
  <c r="N81" i="62"/>
  <c r="Y126" i="62"/>
  <c r="Z126" i="62"/>
  <c r="T118" i="62"/>
  <c r="Y53" i="62"/>
  <c r="Z53" i="62" s="1"/>
  <c r="S177" i="62"/>
  <c r="N80" i="62"/>
  <c r="N11" i="62"/>
  <c r="L177" i="62"/>
  <c r="P77" i="62"/>
  <c r="M118" i="62"/>
  <c r="Y23" i="62"/>
  <c r="L149" i="62"/>
  <c r="N35" i="62"/>
  <c r="Z179" i="62"/>
  <c r="Y124" i="62"/>
  <c r="Y149" i="62" s="1"/>
  <c r="Y151" i="62" s="1"/>
  <c r="I118" i="62"/>
  <c r="V21" i="62"/>
  <c r="V67" i="62" s="1"/>
  <c r="V226" i="62" s="1"/>
  <c r="V118" i="62"/>
  <c r="Z82" i="62"/>
  <c r="Z13" i="62"/>
  <c r="X58" i="62"/>
  <c r="R67" i="62"/>
  <c r="R226" i="62" s="1"/>
  <c r="Y83" i="62"/>
  <c r="T149" i="62"/>
  <c r="T151" i="62"/>
  <c r="K67" i="62"/>
  <c r="K226" i="62" s="1"/>
  <c r="Z26" i="62"/>
  <c r="Z122" i="62"/>
  <c r="AA67" i="62"/>
  <c r="Z81" i="62"/>
  <c r="Z16" i="62"/>
  <c r="W12" i="62"/>
  <c r="J151" i="62"/>
  <c r="X12" i="62"/>
  <c r="O149" i="62"/>
  <c r="M67" i="62"/>
  <c r="M226" i="62" s="1"/>
  <c r="N54" i="62"/>
  <c r="W28" i="62"/>
  <c r="U47" i="62"/>
  <c r="T177" i="62"/>
  <c r="N23" i="62"/>
  <c r="N28" i="62" s="1"/>
  <c r="P47" i="62"/>
  <c r="Z39" i="62"/>
  <c r="Z207" i="62"/>
  <c r="Z201" i="62"/>
  <c r="Z138" i="62"/>
  <c r="Z115" i="62"/>
  <c r="Y184" i="62"/>
  <c r="Z184" i="62"/>
  <c r="Z166" i="62"/>
  <c r="Y44" i="62"/>
  <c r="Z44" i="62" s="1"/>
  <c r="X47" i="62"/>
  <c r="N69" i="62"/>
  <c r="Y224" i="62"/>
  <c r="Z224" i="62" s="1"/>
  <c r="Z220" i="62"/>
  <c r="Y209" i="62"/>
  <c r="Z209" i="62" s="1"/>
  <c r="Y199" i="62"/>
  <c r="Z199" i="62" s="1"/>
  <c r="Z198" i="62"/>
  <c r="X225" i="62"/>
  <c r="Y153" i="62"/>
  <c r="Z153" i="62"/>
  <c r="Y136" i="62"/>
  <c r="Z136" i="62"/>
  <c r="Y123" i="62"/>
  <c r="S118" i="62"/>
  <c r="O84" i="62"/>
  <c r="N84" i="62"/>
  <c r="W61" i="62"/>
  <c r="P21" i="62"/>
  <c r="Y191" i="62"/>
  <c r="Z191" i="62"/>
  <c r="Y145" i="62"/>
  <c r="Y49" i="62"/>
  <c r="Y50" i="62" s="1"/>
  <c r="Z196" i="62"/>
  <c r="Z221" i="62"/>
  <c r="Z194" i="62"/>
  <c r="Y183" i="62"/>
  <c r="Z183" i="62"/>
  <c r="Y154" i="62"/>
  <c r="Z154" i="62" s="1"/>
  <c r="P149" i="62"/>
  <c r="Y121" i="62"/>
  <c r="Z121" i="62"/>
  <c r="Y109" i="62"/>
  <c r="Z109" i="62"/>
  <c r="L151" i="62"/>
  <c r="Y75" i="62"/>
  <c r="X77" i="62"/>
  <c r="N17" i="62"/>
  <c r="Q21" i="62"/>
  <c r="Q67" i="62" s="1"/>
  <c r="AB118" i="62"/>
  <c r="Y100" i="62"/>
  <c r="Z99" i="62"/>
  <c r="Z88" i="62"/>
  <c r="P84" i="62"/>
  <c r="P85" i="62"/>
  <c r="P151" i="62" s="1"/>
  <c r="Y42" i="62"/>
  <c r="Z41" i="62"/>
  <c r="Z30" i="62"/>
  <c r="P28" i="62"/>
  <c r="Y15" i="62"/>
  <c r="Z15" i="62" s="1"/>
  <c r="Z14" i="62"/>
  <c r="Y139" i="62"/>
  <c r="Z139" i="62"/>
  <c r="Z106" i="62"/>
  <c r="Y45" i="62"/>
  <c r="Z45" i="62"/>
  <c r="Y38" i="62"/>
  <c r="Z38" i="62"/>
  <c r="Z31" i="62"/>
  <c r="Y20" i="62"/>
  <c r="Z20" i="62" s="1"/>
  <c r="N12" i="62"/>
  <c r="O85" i="62"/>
  <c r="O151" i="62"/>
  <c r="Y12" i="62"/>
  <c r="Y212" i="62"/>
  <c r="Z212" i="62"/>
  <c r="Y208" i="62"/>
  <c r="Z208" i="62"/>
  <c r="Y204" i="62"/>
  <c r="Z204" i="62"/>
  <c r="Y186" i="62"/>
  <c r="Z186" i="62"/>
  <c r="Y180" i="62"/>
  <c r="Z180" i="62"/>
  <c r="Z165" i="62"/>
  <c r="Y157" i="62"/>
  <c r="Z157" i="62"/>
  <c r="P177" i="62"/>
  <c r="Y148" i="62"/>
  <c r="Z148" i="62"/>
  <c r="Z145" i="62"/>
  <c r="Y125" i="62"/>
  <c r="Z125" i="62" s="1"/>
  <c r="Z124" i="62"/>
  <c r="N124" i="62"/>
  <c r="W149" i="62"/>
  <c r="Z123" i="62"/>
  <c r="Y120" i="62"/>
  <c r="Z120" i="62"/>
  <c r="Z149" i="62" s="1"/>
  <c r="Y105" i="62"/>
  <c r="Z105" i="62"/>
  <c r="Y92" i="62"/>
  <c r="P116" i="62"/>
  <c r="P118" i="62" s="1"/>
  <c r="O116" i="62"/>
  <c r="O118" i="62" s="1"/>
  <c r="V151" i="62"/>
  <c r="Y85" i="62"/>
  <c r="Z23" i="62"/>
  <c r="Z217" i="62"/>
  <c r="Z193" i="62"/>
  <c r="Y187" i="62"/>
  <c r="N181" i="62"/>
  <c r="O225" i="62"/>
  <c r="Y160" i="62"/>
  <c r="Z160" i="62" s="1"/>
  <c r="Z159" i="62"/>
  <c r="Y158" i="62"/>
  <c r="Z158" i="62"/>
  <c r="Y156" i="62"/>
  <c r="Z156" i="62"/>
  <c r="Y137" i="62"/>
  <c r="Z137" i="62"/>
  <c r="Y114" i="62"/>
  <c r="Z114" i="62"/>
  <c r="Y108" i="62"/>
  <c r="Z108" i="62"/>
  <c r="Y103" i="62"/>
  <c r="Z103" i="62"/>
  <c r="Z100" i="62"/>
  <c r="Y37" i="62"/>
  <c r="Y47" i="62" s="1"/>
  <c r="L118" i="62"/>
  <c r="N37" i="62"/>
  <c r="N47" i="62" s="1"/>
  <c r="S47" i="62"/>
  <c r="S67" i="62" s="1"/>
  <c r="Y34" i="62"/>
  <c r="Z34" i="62"/>
  <c r="J67" i="62"/>
  <c r="Z37" i="62"/>
  <c r="Z92" i="62"/>
  <c r="Z12" i="62"/>
  <c r="Z182" i="62" l="1"/>
  <c r="P67" i="62"/>
  <c r="P226" i="62" s="1"/>
  <c r="Y203" i="62"/>
  <c r="Z203" i="62"/>
  <c r="Y169" i="62"/>
  <c r="Y177" i="62" s="1"/>
  <c r="Z169" i="62"/>
  <c r="Z177" i="62" s="1"/>
  <c r="Y87" i="62"/>
  <c r="Y116" i="62" s="1"/>
  <c r="Y118" i="62" s="1"/>
  <c r="X116" i="62"/>
  <c r="X118" i="62" s="1"/>
  <c r="Y56" i="62"/>
  <c r="Y58" i="62" s="1"/>
  <c r="X54" i="62"/>
  <c r="Y52" i="62"/>
  <c r="AB67" i="62"/>
  <c r="AB226" i="62" s="1"/>
  <c r="Y25" i="62"/>
  <c r="Z25" i="62"/>
  <c r="Z28" i="62" s="1"/>
  <c r="X28" i="62"/>
  <c r="X19" i="62"/>
  <c r="Y19" i="62" s="1"/>
  <c r="W19" i="62"/>
  <c r="Z17" i="62"/>
  <c r="N79" i="62"/>
  <c r="N85" i="62" s="1"/>
  <c r="U85" i="62"/>
  <c r="U151" i="62" s="1"/>
  <c r="N94" i="62"/>
  <c r="N116" i="62" s="1"/>
  <c r="N118" i="62" s="1"/>
  <c r="U116" i="62"/>
  <c r="U118" i="62" s="1"/>
  <c r="N201" i="62"/>
  <c r="N225" i="62" s="1"/>
  <c r="S225" i="62"/>
  <c r="Z195" i="62"/>
  <c r="Z222" i="62"/>
  <c r="X149" i="62"/>
  <c r="Z49" i="62"/>
  <c r="Z50" i="62" s="1"/>
  <c r="Z76" i="62"/>
  <c r="Y32" i="62"/>
  <c r="Y35" i="62" s="1"/>
  <c r="X177" i="62"/>
  <c r="Z214" i="62"/>
  <c r="Z197" i="62"/>
  <c r="X85" i="62"/>
  <c r="Z40" i="62"/>
  <c r="Z47" i="62" s="1"/>
  <c r="N19" i="62"/>
  <c r="N21" i="62" s="1"/>
  <c r="N67" i="62" s="1"/>
  <c r="O177" i="62"/>
  <c r="O226" i="62" s="1"/>
  <c r="Y17" i="62"/>
  <c r="U225" i="62"/>
  <c r="Y213" i="62"/>
  <c r="Z213" i="62"/>
  <c r="Y190" i="62"/>
  <c r="Y225" i="62" s="1"/>
  <c r="Z190" i="62"/>
  <c r="Z176" i="62"/>
  <c r="S149" i="62"/>
  <c r="S151" i="62" s="1"/>
  <c r="N134" i="62"/>
  <c r="N149" i="62" s="1"/>
  <c r="J118" i="62"/>
  <c r="J226" i="62" s="1"/>
  <c r="Z113" i="62"/>
  <c r="Z104" i="62"/>
  <c r="Z98" i="62"/>
  <c r="Z96" i="62"/>
  <c r="Z94" i="62"/>
  <c r="Z116" i="62" s="1"/>
  <c r="Z118" i="62" s="1"/>
  <c r="Q151" i="62"/>
  <c r="Q226" i="62" s="1"/>
  <c r="Z83" i="62"/>
  <c r="Z85" i="62" s="1"/>
  <c r="Z151" i="62" s="1"/>
  <c r="Z69" i="62"/>
  <c r="Z77" i="62" s="1"/>
  <c r="N60" i="62"/>
  <c r="N61" i="62" s="1"/>
  <c r="Y60" i="62"/>
  <c r="Y27" i="62"/>
  <c r="Z27" i="62"/>
  <c r="Y11" i="62"/>
  <c r="Y21" i="62" s="1"/>
  <c r="Z11" i="62"/>
  <c r="X21" i="62"/>
  <c r="X67" i="62" s="1"/>
  <c r="U66" i="62"/>
  <c r="U67" i="62" s="1"/>
  <c r="U226" i="62" s="1"/>
  <c r="N64" i="62"/>
  <c r="N66" i="62" s="1"/>
  <c r="S226" i="62" l="1"/>
  <c r="Y61" i="62"/>
  <c r="Z60" i="62"/>
  <c r="Z61" i="62" s="1"/>
  <c r="X151" i="62"/>
  <c r="X226" i="62" s="1"/>
  <c r="Z32" i="62"/>
  <c r="Z35" i="62" s="1"/>
  <c r="N151" i="62"/>
  <c r="N226" i="62" s="1"/>
  <c r="W21" i="62"/>
  <c r="W67" i="62" s="1"/>
  <c r="W226" i="62" s="1"/>
  <c r="Z19" i="62"/>
  <c r="Y28" i="62"/>
  <c r="Y67" i="62" s="1"/>
  <c r="Y226" i="62" s="1"/>
  <c r="Z52" i="62"/>
  <c r="Z54" i="62" s="1"/>
  <c r="Y54" i="62"/>
  <c r="Z56" i="62"/>
  <c r="Z58" i="62" s="1"/>
  <c r="Z21" i="62"/>
  <c r="Z67" i="62" s="1"/>
  <c r="Z226" i="62" s="1"/>
  <c r="Z225" i="62"/>
</calcChain>
</file>

<file path=xl/comments1.xml><?xml version="1.0" encoding="utf-8"?>
<comments xmlns="http://schemas.openxmlformats.org/spreadsheetml/2006/main">
  <authors>
    <author>User</author>
    <author>Pto12</author>
    <author>Pto111</author>
  </authors>
  <commentList>
    <comment ref="O1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80</t>
        </r>
        <r>
          <rPr>
            <sz val="8"/>
            <color indexed="81"/>
            <rFont val="Tahoma"/>
            <family val="2"/>
            <charset val="204"/>
          </rPr>
          <t>- 0,40 м2; апрель2010;</t>
        </r>
      </text>
    </comment>
    <comment ref="P1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80</t>
        </r>
        <r>
          <rPr>
            <sz val="8"/>
            <color indexed="81"/>
            <rFont val="Tahoma"/>
            <family val="2"/>
            <charset val="204"/>
          </rPr>
          <t>- 0,40 м2; апрель2010;</t>
        </r>
      </text>
    </comment>
    <comment ref="O1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приб.(коррект.),кв.</t>
        </r>
        <r>
          <rPr>
            <sz val="8"/>
            <color indexed="10"/>
            <rFont val="Tahoma"/>
            <family val="2"/>
            <charset val="204"/>
          </rPr>
          <t>108</t>
        </r>
        <r>
          <rPr>
            <sz val="8"/>
            <color indexed="81"/>
            <rFont val="Tahoma"/>
            <family val="2"/>
            <charset val="204"/>
          </rPr>
          <t>- 1,20 м2; октябрь2009;</t>
        </r>
      </text>
    </comment>
    <comment ref="P1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108</t>
        </r>
        <r>
          <rPr>
            <sz val="8"/>
            <color indexed="81"/>
            <rFont val="Tahoma"/>
            <family val="2"/>
            <charset val="204"/>
          </rPr>
          <t>- 0,20 м2; октябрь2009;</t>
        </r>
      </text>
    </comment>
    <comment ref="O1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2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2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2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2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2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Идет с тех.паспортом.
убыт.(коррект.),кв.</t>
        </r>
        <r>
          <rPr>
            <sz val="8"/>
            <color indexed="10"/>
            <rFont val="Tahoma"/>
            <family val="2"/>
            <charset val="204"/>
          </rPr>
          <t>14</t>
        </r>
        <r>
          <rPr>
            <sz val="8"/>
            <color indexed="81"/>
            <rFont val="Tahoma"/>
            <family val="2"/>
            <charset val="204"/>
          </rPr>
          <t>- 1,40 м2; октябрь2009;</t>
        </r>
      </text>
    </comment>
    <comment ref="P2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14</t>
        </r>
        <r>
          <rPr>
            <sz val="8"/>
            <color indexed="81"/>
            <rFont val="Tahoma"/>
            <family val="2"/>
            <charset val="204"/>
          </rPr>
          <t>- 1,40 м2; октябрь2009;</t>
        </r>
      </text>
    </comment>
    <comment ref="O3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6</t>
        </r>
        <r>
          <rPr>
            <sz val="8"/>
            <color indexed="81"/>
            <rFont val="Tahoma"/>
            <family val="2"/>
            <charset val="204"/>
          </rPr>
          <t>- 1,30м2; январь2010г</t>
        </r>
      </text>
    </comment>
    <comment ref="P3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6</t>
        </r>
        <r>
          <rPr>
            <sz val="8"/>
            <color indexed="81"/>
            <rFont val="Tahoma"/>
            <family val="2"/>
            <charset val="204"/>
          </rPr>
          <t>- 0,80м2; январь2010г;</t>
        </r>
      </text>
    </comment>
    <comment ref="O5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>- 0,90 м2; декабрь2009;</t>
        </r>
      </text>
    </comment>
    <comment ref="P5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>- 0,40 м2; декабрь2009;</t>
        </r>
      </text>
    </comment>
    <comment ref="O6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убыт.(коррект.),кв.</t>
        </r>
        <r>
          <rPr>
            <sz val="8"/>
            <color indexed="10"/>
            <rFont val="Tahoma"/>
            <family val="2"/>
            <charset val="204"/>
          </rPr>
          <t>21</t>
        </r>
        <r>
          <rPr>
            <sz val="8"/>
            <color indexed="81"/>
            <rFont val="Tahoma"/>
            <family val="2"/>
            <charset val="204"/>
          </rPr>
          <t>- 1,10 м2; декабрь2009;</t>
        </r>
      </text>
    </comment>
    <comment ref="P6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21</t>
        </r>
        <r>
          <rPr>
            <sz val="8"/>
            <color indexed="81"/>
            <rFont val="Tahoma"/>
            <family val="2"/>
            <charset val="204"/>
          </rPr>
          <t>- 0,60 м2; декабрь2009;</t>
        </r>
      </text>
    </comment>
    <comment ref="O7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убыт.(коррект.),кв.15- 1,40м2; январь2010г.</t>
        </r>
      </text>
    </comment>
    <comment ref="P7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убыт.(коррект.),кв.15- 2,00м2; январь2010г.</t>
        </r>
      </text>
    </comment>
    <comment ref="O7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7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</t>
        </r>
      </text>
    </comment>
    <comment ref="O8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Вывод из аренды кв.</t>
        </r>
        <r>
          <rPr>
            <sz val="8"/>
            <color indexed="10"/>
            <rFont val="Tahoma"/>
            <family val="2"/>
            <charset val="204"/>
          </rPr>
          <t>28</t>
        </r>
        <r>
          <rPr>
            <sz val="8"/>
            <color indexed="81"/>
            <rFont val="Tahoma"/>
            <family val="2"/>
            <charset val="204"/>
          </rPr>
          <t>- 52,8(октябрь),в декабре2009г.</t>
        </r>
      </text>
    </comment>
    <comment ref="O9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13</t>
        </r>
        <r>
          <rPr>
            <sz val="8"/>
            <color indexed="81"/>
            <rFont val="Tahoma"/>
            <family val="2"/>
            <charset val="204"/>
          </rPr>
          <t>- 3,10 м2; октябрь2009;</t>
        </r>
      </text>
    </comment>
    <comment ref="P9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13</t>
        </r>
        <r>
          <rPr>
            <sz val="8"/>
            <color indexed="81"/>
            <rFont val="Tahoma"/>
            <family val="2"/>
            <charset val="204"/>
          </rPr>
          <t>- 0,90 м2; октябрь2009;</t>
        </r>
      </text>
    </comment>
    <comment ref="O9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убыт.(коррект.),кв.</t>
        </r>
        <r>
          <rPr>
            <sz val="8"/>
            <color indexed="10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>- 2,10 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5</t>
        </r>
        <r>
          <rPr>
            <sz val="8"/>
            <color indexed="81"/>
            <rFont val="Tahoma"/>
            <family val="2"/>
            <charset val="204"/>
          </rPr>
          <t>- 0,70 м2; апрель2010;</t>
        </r>
      </text>
    </comment>
    <comment ref="P9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</t>
        </r>
        <r>
          <rPr>
            <sz val="8"/>
            <color indexed="81"/>
            <rFont val="Tahoma"/>
            <family val="2"/>
            <charset val="204"/>
          </rPr>
          <t>- 1,50 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5</t>
        </r>
        <r>
          <rPr>
            <sz val="8"/>
            <color indexed="81"/>
            <rFont val="Tahoma"/>
            <family val="2"/>
            <charset val="204"/>
          </rPr>
          <t>- 0,30 м2; апрель2010;</t>
        </r>
      </text>
    </comment>
    <comment ref="O9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9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95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9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кв.11 ушла в ООО"НГК"-52,7 м2.
приб.(коррект.),кв.</t>
        </r>
        <r>
          <rPr>
            <sz val="8"/>
            <color indexed="10"/>
            <rFont val="Tahoma"/>
            <family val="2"/>
            <charset val="204"/>
          </rPr>
          <t>50</t>
        </r>
        <r>
          <rPr>
            <sz val="8"/>
            <color indexed="81"/>
            <rFont val="Tahoma"/>
            <family val="2"/>
            <charset val="204"/>
          </rPr>
          <t>- 0,70м2;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>- 3,30м2; октябрь2009;</t>
        </r>
      </text>
    </comment>
    <comment ref="P9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кв.11 ушла в ООО"НГК"-11,3 м2.
коррект.,кв.</t>
        </r>
        <r>
          <rPr>
            <sz val="8"/>
            <color indexed="10"/>
            <rFont val="Tahoma"/>
            <family val="2"/>
            <charset val="204"/>
          </rPr>
          <t>50</t>
        </r>
        <r>
          <rPr>
            <sz val="8"/>
            <color indexed="81"/>
            <rFont val="Tahoma"/>
            <family val="2"/>
            <charset val="204"/>
          </rPr>
          <t>- 0,30м2; октябрь2009;</t>
        </r>
      </text>
    </comment>
    <comment ref="O9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10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
убыт.(коррект.),кв.</t>
        </r>
        <r>
          <rPr>
            <sz val="8"/>
            <color indexed="10"/>
            <rFont val="Tahoma"/>
            <family val="2"/>
            <charset val="204"/>
          </rPr>
          <t>48</t>
        </r>
        <r>
          <rPr>
            <sz val="8"/>
            <color indexed="81"/>
            <rFont val="Tahoma"/>
            <family val="2"/>
            <charset val="204"/>
          </rPr>
          <t>- 5,20 м2; ноябрь2009;</t>
        </r>
      </text>
    </comment>
    <comment ref="O10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36</t>
        </r>
        <r>
          <rPr>
            <sz val="8"/>
            <color indexed="81"/>
            <rFont val="Tahoma"/>
            <family val="2"/>
            <charset val="204"/>
          </rPr>
          <t>- 2,10м2; январь2010;</t>
        </r>
      </text>
    </comment>
    <comment ref="O10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10</t>
        </r>
        <r>
          <rPr>
            <sz val="8"/>
            <color indexed="81"/>
            <rFont val="Tahoma"/>
            <family val="2"/>
            <charset val="204"/>
          </rPr>
          <t>- 0,90м2; октябрь2009;</t>
        </r>
      </text>
    </comment>
    <comment ref="P10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10</t>
        </r>
        <r>
          <rPr>
            <sz val="8"/>
            <color indexed="81"/>
            <rFont val="Tahoma"/>
            <family val="2"/>
            <charset val="204"/>
          </rPr>
          <t>- 0,60м2; октябрь2009;</t>
        </r>
      </text>
    </comment>
    <comment ref="O10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кв.№28 (94,2м2) откр. л/сч в отчете договорников НЖСК 416,9 м2
кв.№29(49,1м2)-вывод из аренды,откр.л/с.
Кв.№26(95,2м2)-вывод из аренды,откр.л/с 15.07.09г.
</t>
        </r>
        <r>
          <rPr>
            <sz val="8"/>
            <color indexed="10"/>
            <rFont val="Tahoma"/>
            <family val="2"/>
            <charset val="204"/>
          </rPr>
          <t>КВ.№27(47,7м2)-вывод из аренды в 2005г.,не убрана ОУЖФ.</t>
        </r>
      </text>
    </comment>
    <comment ref="P10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кв№29(жилая21,4м2)-вывод из аренды,откр.л/с.
Кв.№26(жилая51,4м2)-вывод из аренды 15.07.09г.
</t>
        </r>
        <r>
          <rPr>
            <sz val="8"/>
            <color indexed="10"/>
            <rFont val="Tahoma"/>
            <family val="2"/>
            <charset val="204"/>
          </rPr>
          <t>Кв.№27(жилая21,4м2)-вывод из аренды в 2005г.Не убрана ОУЖФ.</t>
        </r>
      </text>
    </comment>
    <comment ref="Q10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кв.№28 (94,2м2) откр. л/сч в отчете договорников НЖСК 416,9 м2
кв.№29(49,1м2)-вывод из аренды,откр.л/с.
Кв.№26(95,2м2)-вывод из аренды,откр.л/с 15.07.09г.
</t>
        </r>
        <r>
          <rPr>
            <sz val="8"/>
            <color indexed="10"/>
            <rFont val="Tahoma"/>
            <family val="2"/>
            <charset val="204"/>
          </rPr>
          <t>КВ.№27(47,7м2)-вывод из аренды в 2005г.,не убрана ОУЖФ.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R10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кв№29(жилая21,4м2)-вывод из аренды,откр.л/с.
Кв.№26(жилая51,4м2)-вывод из аренды 15.07.09г.
</t>
        </r>
        <r>
          <rPr>
            <sz val="8"/>
            <color indexed="10"/>
            <rFont val="Tahoma"/>
            <family val="2"/>
            <charset val="204"/>
          </rPr>
          <t>Кв.№27(жилая21,4м2)-вывод из аренды в 2005г.Не убрана ОУЖФ.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был УТЖС 70 /распоряж.админ./</t>
        </r>
      </text>
    </comment>
    <comment ref="N12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Убрано 108,2(СКБпер.)
</t>
        </r>
      </text>
    </comment>
    <comment ref="O12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74</t>
        </r>
        <r>
          <rPr>
            <sz val="8"/>
            <color indexed="81"/>
            <rFont val="Tahoma"/>
            <family val="2"/>
            <charset val="204"/>
          </rPr>
          <t>- 0,70 м2; декабрь2009;</t>
        </r>
      </text>
    </comment>
    <comment ref="O12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908</t>
        </r>
        <r>
          <rPr>
            <sz val="8"/>
            <color indexed="81"/>
            <rFont val="Tahoma"/>
            <family val="2"/>
            <charset val="204"/>
          </rPr>
          <t>- 1,10м2; октябрь2009;</t>
        </r>
      </text>
    </comment>
    <comment ref="P12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908</t>
        </r>
        <r>
          <rPr>
            <sz val="8"/>
            <color indexed="81"/>
            <rFont val="Tahoma"/>
            <family val="2"/>
            <charset val="204"/>
          </rPr>
          <t>- 1,10м2; октябрь2009;</t>
        </r>
      </text>
    </comment>
    <comment ref="S123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O13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13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13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29</t>
        </r>
        <r>
          <rPr>
            <sz val="8"/>
            <color indexed="81"/>
            <rFont val="Tahoma"/>
            <family val="2"/>
            <charset val="204"/>
          </rPr>
          <t>- 3,60м2; октябрь2009;</t>
        </r>
      </text>
    </comment>
    <comment ref="P13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29</t>
        </r>
        <r>
          <rPr>
            <sz val="8"/>
            <color indexed="81"/>
            <rFont val="Tahoma"/>
            <family val="2"/>
            <charset val="204"/>
          </rPr>
          <t>- 3,70м2; октябрь2009;</t>
        </r>
      </text>
    </comment>
    <comment ref="O13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47</t>
        </r>
        <r>
          <rPr>
            <sz val="8"/>
            <color indexed="81"/>
            <rFont val="Tahoma"/>
            <family val="2"/>
            <charset val="204"/>
          </rPr>
          <t>- 7,20м2; октябрь2009;</t>
        </r>
      </text>
    </comment>
    <comment ref="P137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47</t>
        </r>
        <r>
          <rPr>
            <sz val="8"/>
            <color indexed="81"/>
            <rFont val="Tahoma"/>
            <family val="2"/>
            <charset val="204"/>
          </rPr>
          <t>- 3,80м2; октябрь2009;</t>
        </r>
      </text>
    </comment>
    <comment ref="S137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кв.42 скб</t>
        </r>
      </text>
    </comment>
    <comment ref="O14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Вывод в СКБ,кв.</t>
        </r>
        <r>
          <rPr>
            <sz val="8"/>
            <color indexed="10"/>
            <rFont val="Tahoma"/>
            <family val="2"/>
            <charset val="204"/>
          </rPr>
          <t>78</t>
        </r>
        <r>
          <rPr>
            <sz val="8"/>
            <color indexed="81"/>
            <rFont val="Tahoma"/>
            <family val="2"/>
            <charset val="204"/>
          </rPr>
          <t xml:space="preserve"> /40,1м2/
Вывод в СКБ,кв.</t>
        </r>
        <r>
          <rPr>
            <sz val="8"/>
            <color indexed="10"/>
            <rFont val="Tahoma"/>
            <family val="2"/>
            <charset val="204"/>
          </rPr>
          <t>77</t>
        </r>
        <r>
          <rPr>
            <sz val="8"/>
            <color indexed="81"/>
            <rFont val="Tahoma"/>
            <family val="2"/>
            <charset val="204"/>
          </rPr>
          <t xml:space="preserve"> /48,2м2/</t>
        </r>
      </text>
    </comment>
    <comment ref="P14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Вывод в СКБ,кв.</t>
        </r>
        <r>
          <rPr>
            <sz val="8"/>
            <color indexed="10"/>
            <rFont val="Tahoma"/>
            <family val="2"/>
            <charset val="204"/>
          </rPr>
          <t>78</t>
        </r>
        <r>
          <rPr>
            <sz val="8"/>
            <color indexed="81"/>
            <rFont val="Tahoma"/>
            <family val="2"/>
            <charset val="204"/>
          </rPr>
          <t xml:space="preserve"> /17,7м2/
Вывод в СКБ,кв.</t>
        </r>
        <r>
          <rPr>
            <sz val="8"/>
            <color indexed="10"/>
            <rFont val="Tahoma"/>
            <family val="2"/>
            <charset val="204"/>
          </rPr>
          <t>77</t>
        </r>
        <r>
          <rPr>
            <sz val="8"/>
            <color indexed="81"/>
            <rFont val="Tahoma"/>
            <family val="2"/>
            <charset val="204"/>
          </rPr>
          <t xml:space="preserve"> /29,2м2/</t>
        </r>
      </text>
    </comment>
    <comment ref="O14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U141" authorId="2" shapeId="0">
      <text>
        <r>
          <rPr>
            <b/>
            <sz val="9"/>
            <color indexed="81"/>
            <rFont val="Tahoma"/>
            <family val="2"/>
            <charset val="204"/>
          </rPr>
          <t>Pto111:</t>
        </r>
        <r>
          <rPr>
            <sz val="9"/>
            <color indexed="81"/>
            <rFont val="Tahoma"/>
            <family val="2"/>
            <charset val="204"/>
          </rPr>
          <t xml:space="preserve">
пож.выход ИП Дадашов соглаш о присоединении</t>
        </r>
      </text>
    </comment>
    <comment ref="O14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Как у Пимоненковой</t>
        </r>
      </text>
    </comment>
    <comment ref="O14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33</t>
        </r>
        <r>
          <rPr>
            <sz val="8"/>
            <color indexed="81"/>
            <rFont val="Tahoma"/>
            <family val="2"/>
            <charset val="204"/>
          </rPr>
          <t>- 5,10м2; апрель2010г;</t>
        </r>
      </text>
    </comment>
    <comment ref="P14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33</t>
        </r>
        <r>
          <rPr>
            <sz val="8"/>
            <color indexed="81"/>
            <rFont val="Tahoma"/>
            <family val="2"/>
            <charset val="204"/>
          </rPr>
          <t>- 1,00м2; апрель2010г;</t>
        </r>
      </text>
    </comment>
    <comment ref="O14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66</t>
        </r>
        <r>
          <rPr>
            <sz val="8"/>
            <color indexed="81"/>
            <rFont val="Tahoma"/>
            <family val="2"/>
            <charset val="204"/>
          </rPr>
          <t>- 1,10м2; январь2010г;
убыт.(коррект.),кв.</t>
        </r>
        <r>
          <rPr>
            <sz val="8"/>
            <color indexed="10"/>
            <rFont val="Tahoma"/>
            <family val="2"/>
            <charset val="204"/>
          </rPr>
          <t>62</t>
        </r>
        <r>
          <rPr>
            <sz val="8"/>
            <color indexed="81"/>
            <rFont val="Tahoma"/>
            <family val="2"/>
            <charset val="204"/>
          </rPr>
          <t xml:space="preserve">- 0,70м2; апрель2010г;
</t>
        </r>
      </text>
    </comment>
    <comment ref="P146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6</t>
        </r>
        <r>
          <rPr>
            <sz val="8"/>
            <color indexed="81"/>
            <rFont val="Tahoma"/>
            <family val="2"/>
            <charset val="204"/>
          </rPr>
          <t>- 0,50м2; январь2010г;
убыт.(коррект.),кв.</t>
        </r>
        <r>
          <rPr>
            <sz val="8"/>
            <color indexed="10"/>
            <rFont val="Tahoma"/>
            <family val="2"/>
            <charset val="204"/>
          </rPr>
          <t>62</t>
        </r>
        <r>
          <rPr>
            <sz val="8"/>
            <color indexed="81"/>
            <rFont val="Tahoma"/>
            <family val="2"/>
            <charset val="204"/>
          </rPr>
          <t>- 0,20м2; апрель2010г;</t>
        </r>
      </text>
    </comment>
    <comment ref="O14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15</t>
        </r>
        <r>
          <rPr>
            <sz val="8"/>
            <color indexed="81"/>
            <rFont val="Tahoma"/>
            <family val="2"/>
            <charset val="204"/>
          </rPr>
          <t>- 1,60м2; октябрь2009;</t>
        </r>
      </text>
    </comment>
    <comment ref="S157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Кедр</t>
        </r>
      </text>
    </comment>
    <comment ref="O15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12</t>
        </r>
        <r>
          <rPr>
            <sz val="8"/>
            <color indexed="81"/>
            <rFont val="Tahoma"/>
            <family val="2"/>
            <charset val="204"/>
          </rPr>
          <t>- 0,40 м2; ноябрь2009;</t>
        </r>
      </text>
    </comment>
    <comment ref="P15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12</t>
        </r>
        <r>
          <rPr>
            <sz val="8"/>
            <color indexed="81"/>
            <rFont val="Tahoma"/>
            <family val="2"/>
            <charset val="204"/>
          </rPr>
          <t>- 4,00 м2; ноябрь2009;</t>
        </r>
      </text>
    </comment>
    <comment ref="O15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28</t>
        </r>
        <r>
          <rPr>
            <sz val="8"/>
            <color indexed="81"/>
            <rFont val="Tahoma"/>
            <family val="2"/>
            <charset val="204"/>
          </rPr>
          <t>- 0,70м2; октябрь2009;</t>
        </r>
      </text>
    </comment>
    <comment ref="P15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28</t>
        </r>
        <r>
          <rPr>
            <sz val="8"/>
            <color indexed="81"/>
            <rFont val="Tahoma"/>
            <family val="2"/>
            <charset val="204"/>
          </rPr>
          <t>- 0,70м2; октябрь2009;</t>
        </r>
      </text>
    </comment>
    <comment ref="O16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9</t>
        </r>
        <r>
          <rPr>
            <sz val="8"/>
            <color indexed="81"/>
            <rFont val="Tahoma"/>
            <family val="2"/>
            <charset val="204"/>
          </rPr>
          <t>- 2,0 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>- 1,20м2; октябрь2009;</t>
        </r>
      </text>
    </comment>
    <comment ref="P160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9</t>
        </r>
        <r>
          <rPr>
            <sz val="8"/>
            <color indexed="81"/>
            <rFont val="Tahoma"/>
            <family val="2"/>
            <charset val="204"/>
          </rPr>
          <t>- 2,1 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3</t>
        </r>
        <r>
          <rPr>
            <sz val="8"/>
            <color indexed="81"/>
            <rFont val="Tahoma"/>
            <family val="2"/>
            <charset val="204"/>
          </rPr>
          <t>- 7,4м2; октябрь2009;</t>
        </r>
      </text>
    </comment>
    <comment ref="Q160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кв.84 </t>
        </r>
      </text>
    </comment>
    <comment ref="S160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33
</t>
        </r>
      </text>
    </comment>
    <comment ref="U160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кв.92,93 и пожарный выход кв.33</t>
        </r>
      </text>
    </comment>
    <comment ref="S171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105,9+193,8
</t>
        </r>
      </text>
    </comment>
    <comment ref="O17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403</t>
        </r>
        <r>
          <rPr>
            <sz val="8"/>
            <color indexed="81"/>
            <rFont val="Tahoma"/>
            <family val="2"/>
            <charset val="204"/>
          </rPr>
          <t>- 0,40м2; октябрь2009;</t>
        </r>
      </text>
    </comment>
    <comment ref="P17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403</t>
        </r>
        <r>
          <rPr>
            <sz val="8"/>
            <color indexed="81"/>
            <rFont val="Tahoma"/>
            <family val="2"/>
            <charset val="204"/>
          </rPr>
          <t>- 0,50м2; октябрь2009;</t>
        </r>
      </text>
    </comment>
    <comment ref="O17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41</t>
        </r>
        <r>
          <rPr>
            <sz val="8"/>
            <color indexed="81"/>
            <rFont val="Tahoma"/>
            <family val="2"/>
            <charset val="204"/>
          </rPr>
          <t>- 0,30м2; октябрь2009;</t>
        </r>
      </text>
    </comment>
    <comment ref="P17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41</t>
        </r>
        <r>
          <rPr>
            <sz val="8"/>
            <color indexed="81"/>
            <rFont val="Tahoma"/>
            <family val="2"/>
            <charset val="204"/>
          </rPr>
          <t>- 0,30м2; октябрь2009;</t>
        </r>
      </text>
    </comment>
    <comment ref="O18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8</t>
        </r>
        <r>
          <rPr>
            <sz val="8"/>
            <color indexed="81"/>
            <rFont val="Tahoma"/>
            <family val="2"/>
            <charset val="204"/>
          </rPr>
          <t>- 0,10м2; апрель2010г;</t>
        </r>
      </text>
    </comment>
    <comment ref="P18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приб.(коррект.),кв.</t>
        </r>
        <r>
          <rPr>
            <sz val="8"/>
            <color indexed="10"/>
            <rFont val="Tahoma"/>
            <family val="2"/>
            <charset val="204"/>
          </rPr>
          <t>8</t>
        </r>
        <r>
          <rPr>
            <sz val="8"/>
            <color indexed="81"/>
            <rFont val="Tahoma"/>
            <family val="2"/>
            <charset val="204"/>
          </rPr>
          <t>- 0,20м2; апрель2010г;</t>
        </r>
      </text>
    </comment>
    <comment ref="S197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кв.21,22 промышлен. экспертиза</t>
        </r>
      </text>
    </comment>
    <comment ref="S198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стом. Дантист</t>
        </r>
      </text>
    </comment>
    <comment ref="O204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убыт.(коррект.),кв.62- 0,60м2; октябрь2009;</t>
        </r>
      </text>
    </comment>
    <comment ref="S204" authorId="1" shapeId="0">
      <text>
        <r>
          <rPr>
            <b/>
            <sz val="8"/>
            <color indexed="81"/>
            <rFont val="Tahoma"/>
            <family val="2"/>
            <charset val="204"/>
          </rPr>
          <t>Pto12:</t>
        </r>
        <r>
          <rPr>
            <sz val="8"/>
            <color indexed="81"/>
            <rFont val="Tahoma"/>
            <family val="2"/>
            <charset val="204"/>
          </rPr>
          <t xml:space="preserve">
кв.76-50,7, кв.1-47,8</t>
        </r>
      </text>
    </comment>
    <comment ref="O20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59</t>
        </r>
        <r>
          <rPr>
            <sz val="8"/>
            <color indexed="81"/>
            <rFont val="Tahoma"/>
            <family val="2"/>
            <charset val="204"/>
          </rPr>
          <t>- 0,20м2;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36</t>
        </r>
        <r>
          <rPr>
            <sz val="8"/>
            <color indexed="81"/>
            <rFont val="Tahoma"/>
            <family val="2"/>
            <charset val="204"/>
          </rPr>
          <t>- 1,00м2; апрель2010г;</t>
        </r>
      </text>
    </comment>
    <comment ref="P20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59</t>
        </r>
        <r>
          <rPr>
            <sz val="8"/>
            <color indexed="81"/>
            <rFont val="Tahoma"/>
            <family val="2"/>
            <charset val="204"/>
          </rPr>
          <t>- 0,20м2; октябрь2009;
убыт.(коррект.),кв.</t>
        </r>
        <r>
          <rPr>
            <sz val="8"/>
            <color indexed="10"/>
            <rFont val="Tahoma"/>
            <family val="2"/>
            <charset val="204"/>
          </rPr>
          <t>36</t>
        </r>
        <r>
          <rPr>
            <sz val="8"/>
            <color indexed="81"/>
            <rFont val="Tahoma"/>
            <family val="2"/>
            <charset val="204"/>
          </rPr>
          <t>- 1,70м2; апрель2010г;</t>
        </r>
      </text>
    </comment>
    <comment ref="O211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27</t>
        </r>
        <r>
          <rPr>
            <sz val="8"/>
            <color indexed="81"/>
            <rFont val="Tahoma"/>
            <family val="2"/>
            <charset val="204"/>
          </rPr>
          <t>- 1,40м2; октябрь2009;</t>
        </r>
      </text>
    </comment>
    <comment ref="O21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Ушла кв.63, вх.№303 от 19.05.2009
Закрытие л/с кв.36 
</t>
        </r>
        <r>
          <rPr>
            <sz val="8"/>
            <color indexed="10"/>
            <rFont val="Tahoma"/>
            <family val="2"/>
            <charset val="204"/>
          </rPr>
          <t>Открытие</t>
        </r>
        <r>
          <rPr>
            <sz val="8"/>
            <color indexed="81"/>
            <rFont val="Tahoma"/>
            <family val="2"/>
            <charset val="204"/>
          </rPr>
          <t xml:space="preserve"> л/с кв.№63,кв.№36.
</t>
        </r>
        <r>
          <rPr>
            <sz val="8"/>
            <color indexed="10"/>
            <rFont val="Tahoma"/>
            <family val="2"/>
            <charset val="204"/>
          </rPr>
          <t>Открытие</t>
        </r>
        <r>
          <rPr>
            <sz val="8"/>
            <color indexed="81"/>
            <rFont val="Tahoma"/>
            <family val="2"/>
            <charset val="204"/>
          </rPr>
          <t xml:space="preserve"> л/с кв.36
375,7-убраны все закрытые л.сч. Как в ЕРКЦ
</t>
        </r>
      </text>
    </comment>
    <comment ref="P21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Ушла кв.63, вх.№303 от 19.05.2009
Закрытие л/с кв.36 
</t>
        </r>
        <r>
          <rPr>
            <sz val="8"/>
            <color indexed="10"/>
            <rFont val="Tahoma"/>
            <family val="2"/>
            <charset val="204"/>
          </rPr>
          <t>Открытие</t>
        </r>
        <r>
          <rPr>
            <sz val="8"/>
            <color indexed="81"/>
            <rFont val="Tahoma"/>
            <family val="2"/>
            <charset val="204"/>
          </rPr>
          <t xml:space="preserve"> л/с кв.№63,кв.№36.
</t>
        </r>
        <r>
          <rPr>
            <sz val="8"/>
            <color indexed="10"/>
            <rFont val="Tahoma"/>
            <family val="2"/>
            <charset val="204"/>
          </rPr>
          <t xml:space="preserve">Открытие </t>
        </r>
        <r>
          <rPr>
            <sz val="8"/>
            <color indexed="81"/>
            <rFont val="Tahoma"/>
            <family val="2"/>
            <charset val="204"/>
          </rPr>
          <t>л/с кв.36</t>
        </r>
      </text>
    </comment>
    <comment ref="O2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22</t>
        </r>
        <r>
          <rPr>
            <sz val="8"/>
            <color indexed="81"/>
            <rFont val="Tahoma"/>
            <family val="2"/>
            <charset val="204"/>
          </rPr>
          <t>- 1,00м2; октябрь2009;</t>
        </r>
      </text>
    </comment>
    <comment ref="P218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22</t>
        </r>
        <r>
          <rPr>
            <sz val="8"/>
            <color indexed="81"/>
            <rFont val="Tahoma"/>
            <family val="2"/>
            <charset val="204"/>
          </rPr>
          <t>- 0,50м2; октябрь2009;</t>
        </r>
      </text>
    </comment>
    <comment ref="S21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СКБ кв.31
</t>
        </r>
      </text>
    </comment>
    <comment ref="O22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41</t>
        </r>
        <r>
          <rPr>
            <sz val="8"/>
            <color indexed="81"/>
            <rFont val="Tahoma"/>
            <family val="2"/>
            <charset val="204"/>
          </rPr>
          <t>- 1,40м2; октябрь2009;</t>
        </r>
      </text>
    </comment>
    <comment ref="P222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41</t>
        </r>
        <r>
          <rPr>
            <sz val="8"/>
            <color indexed="81"/>
            <rFont val="Tahoma"/>
            <family val="2"/>
            <charset val="204"/>
          </rPr>
          <t>- 1,40м2; октябрь2009;</t>
        </r>
      </text>
    </comment>
    <comment ref="O22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16</t>
        </r>
        <r>
          <rPr>
            <sz val="8"/>
            <color indexed="81"/>
            <rFont val="Tahoma"/>
            <family val="2"/>
            <charset val="204"/>
          </rPr>
          <t>- 1,10м2; октябрь2009;</t>
        </r>
      </text>
    </comment>
    <comment ref="P223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  <r>
          <rPr>
            <sz val="8"/>
            <color indexed="81"/>
            <rFont val="Tahoma"/>
            <family val="2"/>
            <charset val="204"/>
          </rPr>
          <t xml:space="preserve">
убыт.(коррект.),кв.</t>
        </r>
        <r>
          <rPr>
            <sz val="8"/>
            <color indexed="10"/>
            <rFont val="Tahoma"/>
            <family val="2"/>
            <charset val="204"/>
          </rPr>
          <t>16</t>
        </r>
        <r>
          <rPr>
            <sz val="8"/>
            <color indexed="81"/>
            <rFont val="Tahoma"/>
            <family val="2"/>
            <charset val="204"/>
          </rPr>
          <t>- 1,10м2; октябрь2009;</t>
        </r>
      </text>
    </comment>
  </commentList>
</comments>
</file>

<file path=xl/sharedStrings.xml><?xml version="1.0" encoding="utf-8"?>
<sst xmlns="http://schemas.openxmlformats.org/spreadsheetml/2006/main" count="701" uniqueCount="217">
  <si>
    <t>в том числе</t>
  </si>
  <si>
    <t>Площадь квартир</t>
  </si>
  <si>
    <t>Общая</t>
  </si>
  <si>
    <t>мкр.  И-2</t>
  </si>
  <si>
    <t xml:space="preserve"> </t>
  </si>
  <si>
    <t>81.03</t>
  </si>
  <si>
    <t xml:space="preserve">Ленина </t>
  </si>
  <si>
    <t>КПД</t>
  </si>
  <si>
    <t xml:space="preserve">Космонавтов </t>
  </si>
  <si>
    <t>81.04</t>
  </si>
  <si>
    <t xml:space="preserve">Миpа </t>
  </si>
  <si>
    <t>82.02</t>
  </si>
  <si>
    <t xml:space="preserve">Холмогоpская </t>
  </si>
  <si>
    <t>82\81</t>
  </si>
  <si>
    <t>86.02</t>
  </si>
  <si>
    <t>99.10</t>
  </si>
  <si>
    <t>мкр. И</t>
  </si>
  <si>
    <t>42а</t>
  </si>
  <si>
    <t>42б</t>
  </si>
  <si>
    <t>98.12</t>
  </si>
  <si>
    <t>94.12</t>
  </si>
  <si>
    <t xml:space="preserve">60 лет  СССР </t>
  </si>
  <si>
    <t>93.03</t>
  </si>
  <si>
    <t>58а</t>
  </si>
  <si>
    <t>ИТОГО:</t>
  </si>
  <si>
    <t>Советская</t>
  </si>
  <si>
    <t>СКБ в квар., м2</t>
  </si>
  <si>
    <t xml:space="preserve">Мира </t>
  </si>
  <si>
    <t>97.06</t>
  </si>
  <si>
    <t xml:space="preserve">Советская </t>
  </si>
  <si>
    <t>30а</t>
  </si>
  <si>
    <t>30б</t>
  </si>
  <si>
    <t xml:space="preserve">Магистральная </t>
  </si>
  <si>
    <t>43а</t>
  </si>
  <si>
    <t>36а</t>
  </si>
  <si>
    <t>принят.</t>
  </si>
  <si>
    <t>на бал.</t>
  </si>
  <si>
    <t>м-н  Н</t>
  </si>
  <si>
    <t xml:space="preserve">Изыскателей </t>
  </si>
  <si>
    <t>15а</t>
  </si>
  <si>
    <t>19а</t>
  </si>
  <si>
    <t>21а</t>
  </si>
  <si>
    <t>21в</t>
  </si>
  <si>
    <t>Учебная  зона</t>
  </si>
  <si>
    <t>41а</t>
  </si>
  <si>
    <t>41б</t>
  </si>
  <si>
    <t>43б</t>
  </si>
  <si>
    <t>м-н М</t>
  </si>
  <si>
    <t>20а</t>
  </si>
  <si>
    <t>89в</t>
  </si>
  <si>
    <t>89г</t>
  </si>
  <si>
    <t>91а</t>
  </si>
  <si>
    <t>91б</t>
  </si>
  <si>
    <t>93а</t>
  </si>
  <si>
    <t>93б</t>
  </si>
  <si>
    <t>93в</t>
  </si>
  <si>
    <t xml:space="preserve">Холмогорская </t>
  </si>
  <si>
    <t>91.12</t>
  </si>
  <si>
    <t>85.03</t>
  </si>
  <si>
    <t>87.04</t>
  </si>
  <si>
    <t xml:space="preserve"> мкр.6</t>
  </si>
  <si>
    <t>89.12</t>
  </si>
  <si>
    <t>90.08</t>
  </si>
  <si>
    <t>78а</t>
  </si>
  <si>
    <t>90.12</t>
  </si>
  <si>
    <t>96.07</t>
  </si>
  <si>
    <t>82а</t>
  </si>
  <si>
    <t>82б</t>
  </si>
  <si>
    <t>84б</t>
  </si>
  <si>
    <t>86.04</t>
  </si>
  <si>
    <t>36б</t>
  </si>
  <si>
    <t>38а</t>
  </si>
  <si>
    <t>38б</t>
  </si>
  <si>
    <t>87.03</t>
  </si>
  <si>
    <t>38в</t>
  </si>
  <si>
    <t>40а</t>
  </si>
  <si>
    <t>40б</t>
  </si>
  <si>
    <t xml:space="preserve">40 лет Победы </t>
  </si>
  <si>
    <t>7а</t>
  </si>
  <si>
    <t>7б</t>
  </si>
  <si>
    <t>7в</t>
  </si>
  <si>
    <t>35б</t>
  </si>
  <si>
    <t>95.04</t>
  </si>
  <si>
    <t>мкр. " 5 "</t>
  </si>
  <si>
    <t xml:space="preserve">Высоцкого </t>
  </si>
  <si>
    <t>3а</t>
  </si>
  <si>
    <t>11а</t>
  </si>
  <si>
    <t>111а</t>
  </si>
  <si>
    <t>111б</t>
  </si>
  <si>
    <t>113а</t>
  </si>
  <si>
    <t>113б</t>
  </si>
  <si>
    <t>115а</t>
  </si>
  <si>
    <t>115б</t>
  </si>
  <si>
    <t>90а</t>
  </si>
  <si>
    <t>90б</t>
  </si>
  <si>
    <t>96а</t>
  </si>
  <si>
    <t>98а</t>
  </si>
  <si>
    <t>мкр.7</t>
  </si>
  <si>
    <t>92.11</t>
  </si>
  <si>
    <t xml:space="preserve">В.Цоя </t>
  </si>
  <si>
    <t>92.10</t>
  </si>
  <si>
    <t>3б</t>
  </si>
  <si>
    <t>3в</t>
  </si>
  <si>
    <t>5б</t>
  </si>
  <si>
    <t>5в</t>
  </si>
  <si>
    <t>9б</t>
  </si>
  <si>
    <t>9в</t>
  </si>
  <si>
    <t>11в</t>
  </si>
  <si>
    <t>11б</t>
  </si>
  <si>
    <t>13а</t>
  </si>
  <si>
    <t>93.11</t>
  </si>
  <si>
    <t>17а</t>
  </si>
  <si>
    <t>94.03</t>
  </si>
  <si>
    <t>94.01</t>
  </si>
  <si>
    <t>21б</t>
  </si>
  <si>
    <t>97.07</t>
  </si>
  <si>
    <t xml:space="preserve">Высоцкого  </t>
  </si>
  <si>
    <t>5\7</t>
  </si>
  <si>
    <t>96.12</t>
  </si>
  <si>
    <t>22</t>
  </si>
  <si>
    <t>93.05</t>
  </si>
  <si>
    <t>93.06</t>
  </si>
  <si>
    <t>34а</t>
  </si>
  <si>
    <t>34б</t>
  </si>
  <si>
    <t>94.11</t>
  </si>
  <si>
    <t>94.09</t>
  </si>
  <si>
    <t>95.09</t>
  </si>
  <si>
    <t>94.05</t>
  </si>
  <si>
    <t>44а</t>
  </si>
  <si>
    <t>46</t>
  </si>
  <si>
    <t>94.04</t>
  </si>
  <si>
    <t>46а</t>
  </si>
  <si>
    <t>мкр.Н-3</t>
  </si>
  <si>
    <t>мкр. Л</t>
  </si>
  <si>
    <t>92.07</t>
  </si>
  <si>
    <t>мкр.УТДС</t>
  </si>
  <si>
    <t>пос.УТАДС</t>
  </si>
  <si>
    <t>13б</t>
  </si>
  <si>
    <t>16б</t>
  </si>
  <si>
    <t>64а</t>
  </si>
  <si>
    <t>72в</t>
  </si>
  <si>
    <t>76а</t>
  </si>
  <si>
    <t>96б</t>
  </si>
  <si>
    <t>факт</t>
  </si>
  <si>
    <t>нов. тех.п.</t>
  </si>
  <si>
    <t>03.01г.</t>
  </si>
  <si>
    <t>Кирп.</t>
  </si>
  <si>
    <t>кирп.</t>
  </si>
  <si>
    <t>Тип здания</t>
  </si>
  <si>
    <t>Кол-во этажей</t>
  </si>
  <si>
    <t>Кол-во дом.</t>
  </si>
  <si>
    <t>Кол-во подъез.</t>
  </si>
  <si>
    <t>Кол-во входов</t>
  </si>
  <si>
    <t>Номер дома</t>
  </si>
  <si>
    <t>Год ввода</t>
  </si>
  <si>
    <t>Пл. лест. кл.</t>
  </si>
  <si>
    <t>Пл. мест общ. польз.</t>
  </si>
  <si>
    <t>Пл.лест.клеток                 с  К=1,3</t>
  </si>
  <si>
    <t>№ п/п</t>
  </si>
  <si>
    <t>Кирп</t>
  </si>
  <si>
    <t>СКБ пер. м2</t>
  </si>
  <si>
    <t>Почтовый адрес</t>
  </si>
  <si>
    <t>2001</t>
  </si>
  <si>
    <t>02.00</t>
  </si>
  <si>
    <t>Площадь балк, лодж, терасс,м2 (с коэф.)</t>
  </si>
  <si>
    <t>Физ.лица</t>
  </si>
  <si>
    <t>Кол-во квартир</t>
  </si>
  <si>
    <t>Всего</t>
  </si>
  <si>
    <t>в т.ч. жилая</t>
  </si>
  <si>
    <t>Год включения в реестр мун.собств.</t>
  </si>
  <si>
    <t>Численность</t>
  </si>
  <si>
    <t>Жилье в аренде</t>
  </si>
  <si>
    <t>Категория</t>
  </si>
  <si>
    <t>Холмогорская</t>
  </si>
  <si>
    <t>37а</t>
  </si>
  <si>
    <t>12 б/элузл.</t>
  </si>
  <si>
    <t>8 б/элузл.</t>
  </si>
  <si>
    <t>10 б/элузл.</t>
  </si>
  <si>
    <t>11 б/элузл.</t>
  </si>
  <si>
    <t>27а</t>
  </si>
  <si>
    <t>29б</t>
  </si>
  <si>
    <t>32б</t>
  </si>
  <si>
    <t>38 а</t>
  </si>
  <si>
    <t>без</t>
  </si>
  <si>
    <t>99.0</t>
  </si>
  <si>
    <t>Шевченко</t>
  </si>
  <si>
    <t>10 б/элузл</t>
  </si>
  <si>
    <t>Киевская</t>
  </si>
  <si>
    <t>01.05г.</t>
  </si>
  <si>
    <t>40/13</t>
  </si>
  <si>
    <t>62б</t>
  </si>
  <si>
    <t>мкр.Г</t>
  </si>
  <si>
    <t>Республики</t>
  </si>
  <si>
    <t xml:space="preserve">                        СВЕДЕНИЯ  </t>
  </si>
  <si>
    <t xml:space="preserve">Общая площадь здания </t>
  </si>
  <si>
    <t>11 б/элузл</t>
  </si>
  <si>
    <t>8 б/элузл</t>
  </si>
  <si>
    <t>12 б/элузл</t>
  </si>
  <si>
    <t>ИТОГО  :</t>
  </si>
  <si>
    <t>Мира</t>
  </si>
  <si>
    <t>55/57</t>
  </si>
  <si>
    <r>
      <t>МОП+</t>
    </r>
    <r>
      <rPr>
        <sz val="10"/>
        <rFont val="Times New Roman"/>
        <family val="1"/>
        <charset val="204"/>
      </rPr>
      <t>уб</t>
    </r>
    <r>
      <rPr>
        <b/>
        <sz val="10"/>
        <rFont val="Times New Roman"/>
        <family val="1"/>
        <charset val="204"/>
      </rPr>
      <t xml:space="preserve">.пл.лест.кл. </t>
    </r>
    <r>
      <rPr>
        <b/>
        <sz val="12"/>
        <rFont val="Times New Roman"/>
        <family val="1"/>
        <charset val="204"/>
      </rPr>
      <t>вкл.1,2,3эт.; 3эт в 5эт и 4эт в 9эт</t>
    </r>
  </si>
  <si>
    <r>
      <t>МОП+уб.пл.лест.кл.</t>
    </r>
    <r>
      <rPr>
        <b/>
        <sz val="12"/>
        <rFont val="Times New Roman"/>
        <family val="1"/>
        <charset val="204"/>
      </rPr>
      <t>св.3эт и 4эт</t>
    </r>
  </si>
  <si>
    <t>ВСЕГО:</t>
  </si>
  <si>
    <t>мкр."Д-1"</t>
  </si>
  <si>
    <t>б/к</t>
  </si>
  <si>
    <t>М-он   "Р"</t>
  </si>
  <si>
    <t>М-он   "П"</t>
  </si>
  <si>
    <t>83"а"</t>
  </si>
  <si>
    <t>84 "а"</t>
  </si>
  <si>
    <t>М-он   "Л"</t>
  </si>
  <si>
    <t>8 б/элуз.</t>
  </si>
  <si>
    <t>1 спец.</t>
  </si>
  <si>
    <t xml:space="preserve">Школьная </t>
  </si>
  <si>
    <t>мкр."Д"</t>
  </si>
  <si>
    <t>Блочный</t>
  </si>
  <si>
    <t>о  жилищном фонде, находяшемся в обслуживании в ООО "НЖСК +" по состоянию на 01.01.2020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</si>
</sst>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8" formatCode="0.0"/>
    <numFmt numFmtId="203" formatCode="0.000"/>
    <numFmt numFmtId="209" formatCode="#,##0.0"/>
  </numFmts>
  <fonts count="21" x14ac:knownFonts="1">
    <font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10"/>
      <name val="Tahoma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0">
    <xf numFmtId="0" fontId="0" fillId="0" borderId="0" xfId="0"/>
    <xf numFmtId="0" fontId="5" fillId="2" borderId="1" xfId="0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/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/>
    <xf numFmtId="0" fontId="5" fillId="2" borderId="4" xfId="0" applyFont="1" applyFill="1" applyBorder="1"/>
    <xf numFmtId="0" fontId="5" fillId="2" borderId="0" xfId="0" applyFont="1" applyFill="1" applyAlignment="1"/>
    <xf numFmtId="0" fontId="5" fillId="2" borderId="0" xfId="0" applyFont="1" applyFill="1" applyBorder="1" applyAlignment="1"/>
    <xf numFmtId="0" fontId="3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 vertical="center" textRotation="90" wrapText="1"/>
      <protection locked="0"/>
    </xf>
    <xf numFmtId="0" fontId="5" fillId="2" borderId="5" xfId="0" applyFont="1" applyFill="1" applyBorder="1" applyAlignment="1" applyProtection="1">
      <alignment horizontal="center" textRotation="90" wrapText="1"/>
      <protection locked="0"/>
    </xf>
    <xf numFmtId="0" fontId="5" fillId="2" borderId="7" xfId="0" applyFont="1" applyFill="1" applyBorder="1" applyAlignment="1" applyProtection="1">
      <alignment horizontal="center" textRotation="90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2" fontId="5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wrapText="1"/>
    </xf>
    <xf numFmtId="188" fontId="5" fillId="2" borderId="1" xfId="0" applyNumberFormat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88" fontId="5" fillId="2" borderId="1" xfId="0" applyNumberFormat="1" applyFont="1" applyFill="1" applyBorder="1" applyAlignment="1" applyProtection="1">
      <alignment wrapText="1"/>
      <protection locked="0"/>
    </xf>
    <xf numFmtId="188" fontId="5" fillId="2" borderId="2" xfId="0" applyNumberFormat="1" applyFont="1" applyFill="1" applyBorder="1" applyAlignment="1" applyProtection="1">
      <alignment wrapText="1"/>
      <protection locked="0"/>
    </xf>
    <xf numFmtId="0" fontId="5" fillId="2" borderId="3" xfId="0" applyFont="1" applyFill="1" applyBorder="1" applyAlignment="1">
      <alignment wrapTex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9" xfId="0" applyFont="1" applyFill="1" applyBorder="1" applyAlignment="1">
      <alignment horizontal="center" wrapText="1"/>
    </xf>
    <xf numFmtId="188" fontId="5" fillId="2" borderId="1" xfId="0" applyNumberFormat="1" applyFont="1" applyFill="1" applyBorder="1" applyAlignment="1">
      <alignment horizontal="right" wrapText="1"/>
    </xf>
    <xf numFmtId="188" fontId="5" fillId="2" borderId="1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188" fontId="5" fillId="2" borderId="1" xfId="0" applyNumberFormat="1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188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1" xfId="0" applyNumberFormat="1" applyFont="1" applyFill="1" applyBorder="1" applyAlignment="1" applyProtection="1">
      <alignment horizontal="center" wrapText="1"/>
      <protection locked="0"/>
    </xf>
    <xf numFmtId="3" fontId="5" fillId="2" borderId="1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 wrapText="1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wrapText="1"/>
    </xf>
    <xf numFmtId="0" fontId="3" fillId="2" borderId="8" xfId="0" applyFont="1" applyFill="1" applyBorder="1" applyAlignment="1" applyProtection="1">
      <alignment horizontal="center" wrapText="1"/>
      <protection locked="0"/>
    </xf>
    <xf numFmtId="14" fontId="5" fillId="2" borderId="1" xfId="0" applyNumberFormat="1" applyFont="1" applyFill="1" applyBorder="1" applyAlignment="1" applyProtection="1">
      <alignment horizontal="center" wrapText="1"/>
      <protection locked="0"/>
    </xf>
    <xf numFmtId="188" fontId="3" fillId="2" borderId="1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0" xfId="0" applyFill="1"/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88" fontId="3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horizontal="center" wrapText="1"/>
    </xf>
    <xf numFmtId="209" fontId="3" fillId="2" borderId="1" xfId="0" applyNumberFormat="1" applyFont="1" applyFill="1" applyBorder="1" applyAlignment="1">
      <alignment horizontal="center" wrapText="1"/>
    </xf>
    <xf numFmtId="203" fontId="3" fillId="2" borderId="1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88" fontId="3" fillId="2" borderId="1" xfId="0" applyNumberFormat="1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209" fontId="5" fillId="2" borderId="1" xfId="0" applyNumberFormat="1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2" borderId="9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5" fillId="2" borderId="2" xfId="0" applyFont="1" applyFill="1" applyBorder="1" applyAlignment="1" applyProtection="1"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/>
    <xf numFmtId="0" fontId="5" fillId="2" borderId="11" xfId="0" applyFont="1" applyFill="1" applyBorder="1"/>
    <xf numFmtId="0" fontId="5" fillId="2" borderId="17" xfId="0" applyFont="1" applyFill="1" applyBorder="1"/>
    <xf numFmtId="0" fontId="5" fillId="2" borderId="10" xfId="0" applyFont="1" applyFill="1" applyBorder="1"/>
    <xf numFmtId="0" fontId="5" fillId="2" borderId="25" xfId="0" applyFont="1" applyFill="1" applyBorder="1"/>
    <xf numFmtId="0" fontId="5" fillId="2" borderId="8" xfId="0" applyFont="1" applyFill="1" applyBorder="1"/>
    <xf numFmtId="203" fontId="5" fillId="2" borderId="1" xfId="0" applyNumberFormat="1" applyFont="1" applyFill="1" applyBorder="1"/>
    <xf numFmtId="0" fontId="5" fillId="2" borderId="26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188" fontId="5" fillId="2" borderId="1" xfId="0" applyNumberFormat="1" applyFont="1" applyFill="1" applyBorder="1"/>
    <xf numFmtId="0" fontId="3" fillId="2" borderId="16" xfId="0" applyFont="1" applyFill="1" applyBorder="1" applyAlignment="1" applyProtection="1">
      <alignment horizontal="center"/>
      <protection locked="0"/>
    </xf>
    <xf numFmtId="188" fontId="5" fillId="2" borderId="2" xfId="0" applyNumberFormat="1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188" fontId="3" fillId="2" borderId="3" xfId="0" applyNumberFormat="1" applyFont="1" applyFill="1" applyBorder="1" applyAlignment="1" applyProtection="1">
      <protection locked="0"/>
    </xf>
    <xf numFmtId="188" fontId="3" fillId="2" borderId="1" xfId="0" applyNumberFormat="1" applyFont="1" applyFill="1" applyBorder="1" applyAlignment="1" applyProtection="1">
      <protection locked="0"/>
    </xf>
    <xf numFmtId="2" fontId="3" fillId="2" borderId="1" xfId="0" applyNumberFormat="1" applyFont="1" applyFill="1" applyBorder="1" applyAlignment="1" applyProtection="1"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188" fontId="5" fillId="2" borderId="1" xfId="0" applyNumberFormat="1" applyFont="1" applyFill="1" applyBorder="1" applyAlignment="1" applyProtection="1">
      <protection locked="0"/>
    </xf>
    <xf numFmtId="188" fontId="5" fillId="2" borderId="2" xfId="0" applyNumberFormat="1" applyFont="1" applyFill="1" applyBorder="1" applyAlignment="1"/>
    <xf numFmtId="188" fontId="3" fillId="2" borderId="1" xfId="0" applyNumberFormat="1" applyFont="1" applyFill="1" applyBorder="1"/>
    <xf numFmtId="0" fontId="3" fillId="2" borderId="2" xfId="0" applyFont="1" applyFill="1" applyBorder="1"/>
    <xf numFmtId="0" fontId="5" fillId="2" borderId="31" xfId="0" applyFont="1" applyFill="1" applyBorder="1"/>
    <xf numFmtId="0" fontId="5" fillId="2" borderId="2" xfId="0" applyFont="1" applyFill="1" applyBorder="1"/>
    <xf numFmtId="188" fontId="5" fillId="2" borderId="1" xfId="0" applyNumberFormat="1" applyFont="1" applyFill="1" applyBorder="1" applyAlignment="1"/>
    <xf numFmtId="0" fontId="3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left"/>
    </xf>
    <xf numFmtId="16" fontId="3" fillId="2" borderId="1" xfId="0" applyNumberFormat="1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28" xfId="0" applyFont="1" applyFill="1" applyBorder="1" applyAlignment="1" applyProtection="1">
      <alignment horizontal="left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protection locked="0"/>
    </xf>
    <xf numFmtId="0" fontId="5" fillId="2" borderId="32" xfId="0" applyFont="1" applyFill="1" applyBorder="1" applyAlignment="1"/>
    <xf numFmtId="0" fontId="5" fillId="2" borderId="33" xfId="0" applyFont="1" applyFill="1" applyBorder="1"/>
    <xf numFmtId="0" fontId="5" fillId="2" borderId="34" xfId="0" applyFont="1" applyFill="1" applyBorder="1"/>
    <xf numFmtId="0" fontId="3" fillId="2" borderId="35" xfId="0" applyFont="1" applyFill="1" applyBorder="1" applyAlignment="1">
      <alignment horizontal="center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35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>
      <alignment horizontal="right"/>
    </xf>
    <xf numFmtId="0" fontId="3" fillId="2" borderId="35" xfId="0" applyFont="1" applyFill="1" applyBorder="1" applyAlignment="1" applyProtection="1">
      <protection locked="0"/>
    </xf>
    <xf numFmtId="188" fontId="3" fillId="2" borderId="36" xfId="0" applyNumberFormat="1" applyFont="1" applyFill="1" applyBorder="1" applyAlignment="1"/>
    <xf numFmtId="0" fontId="3" fillId="2" borderId="20" xfId="0" applyFont="1" applyFill="1" applyBorder="1" applyAlignment="1">
      <alignment horizontal="right"/>
    </xf>
    <xf numFmtId="188" fontId="3" fillId="2" borderId="16" xfId="0" applyNumberFormat="1" applyFont="1" applyFill="1" applyBorder="1" applyAlignment="1">
      <alignment horizontal="right"/>
    </xf>
    <xf numFmtId="0" fontId="3" fillId="2" borderId="34" xfId="0" applyFont="1" applyFill="1" applyBorder="1"/>
    <xf numFmtId="0" fontId="3" fillId="2" borderId="35" xfId="0" applyFont="1" applyFill="1" applyBorder="1"/>
    <xf numFmtId="0" fontId="3" fillId="2" borderId="0" xfId="0" applyFont="1" applyFill="1"/>
    <xf numFmtId="0" fontId="12" fillId="2" borderId="0" xfId="0" applyFont="1" applyFill="1"/>
    <xf numFmtId="0" fontId="13" fillId="2" borderId="0" xfId="0" applyFont="1" applyFill="1" applyBorder="1"/>
    <xf numFmtId="0" fontId="13" fillId="2" borderId="0" xfId="0" applyFont="1" applyFill="1"/>
    <xf numFmtId="0" fontId="5" fillId="2" borderId="2" xfId="0" applyFont="1" applyFill="1" applyBorder="1" applyAlignment="1">
      <alignment horizontal="center" wrapText="1"/>
    </xf>
    <xf numFmtId="2" fontId="5" fillId="2" borderId="26" xfId="0" applyNumberFormat="1" applyFont="1" applyFill="1" applyBorder="1"/>
    <xf numFmtId="188" fontId="3" fillId="2" borderId="37" xfId="0" applyNumberFormat="1" applyFont="1" applyFill="1" applyBorder="1" applyAlignment="1">
      <alignment horizontal="right"/>
    </xf>
    <xf numFmtId="0" fontId="5" fillId="2" borderId="18" xfId="0" applyFont="1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2" fontId="5" fillId="2" borderId="1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/>
    <xf numFmtId="0" fontId="5" fillId="2" borderId="38" xfId="0" applyFont="1" applyFill="1" applyBorder="1" applyAlignment="1">
      <alignment horizontal="center" wrapText="1"/>
    </xf>
    <xf numFmtId="0" fontId="5" fillId="2" borderId="18" xfId="0" applyFont="1" applyFill="1" applyBorder="1" applyAlignment="1" applyProtection="1">
      <alignment horizontal="left" wrapText="1"/>
      <protection locked="0"/>
    </xf>
    <xf numFmtId="0" fontId="3" fillId="2" borderId="18" xfId="0" applyFont="1" applyFill="1" applyBorder="1" applyAlignment="1" applyProtection="1">
      <alignment horizontal="center" wrapText="1"/>
      <protection locked="0"/>
    </xf>
    <xf numFmtId="2" fontId="5" fillId="2" borderId="18" xfId="0" applyNumberFormat="1" applyFont="1" applyFill="1" applyBorder="1" applyAlignment="1" applyProtection="1">
      <alignment wrapText="1"/>
      <protection locked="0"/>
    </xf>
    <xf numFmtId="188" fontId="5" fillId="2" borderId="31" xfId="0" applyNumberFormat="1" applyFont="1" applyFill="1" applyBorder="1" applyAlignment="1" applyProtection="1">
      <alignment wrapText="1"/>
      <protection locked="0"/>
    </xf>
    <xf numFmtId="0" fontId="5" fillId="2" borderId="39" xfId="0" applyFont="1" applyFill="1" applyBorder="1" applyAlignment="1" applyProtection="1">
      <alignment horizontal="center" wrapText="1"/>
      <protection locked="0"/>
    </xf>
    <xf numFmtId="0" fontId="5" fillId="2" borderId="37" xfId="0" applyFont="1" applyFill="1" applyBorder="1" applyAlignment="1" applyProtection="1">
      <alignment horizontal="center" wrapText="1"/>
      <protection locked="0"/>
    </xf>
    <xf numFmtId="0" fontId="3" fillId="2" borderId="37" xfId="0" applyFont="1" applyFill="1" applyBorder="1" applyAlignment="1" applyProtection="1">
      <alignment horizontal="center" wrapText="1"/>
      <protection locked="0"/>
    </xf>
    <xf numFmtId="209" fontId="5" fillId="2" borderId="37" xfId="0" applyNumberFormat="1" applyFont="1" applyFill="1" applyBorder="1" applyAlignment="1" applyProtection="1">
      <alignment wrapText="1"/>
      <protection locked="0"/>
    </xf>
    <xf numFmtId="0" fontId="5" fillId="2" borderId="21" xfId="0" applyFont="1" applyFill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/>
    <xf numFmtId="0" fontId="5" fillId="2" borderId="31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wrapText="1"/>
    </xf>
    <xf numFmtId="0" fontId="3" fillId="2" borderId="31" xfId="0" applyFont="1" applyFill="1" applyBorder="1" applyAlignment="1">
      <alignment horizontal="center" wrapText="1"/>
    </xf>
    <xf numFmtId="0" fontId="3" fillId="2" borderId="32" xfId="0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protection locked="0"/>
    </xf>
    <xf numFmtId="2" fontId="5" fillId="2" borderId="2" xfId="0" applyNumberFormat="1" applyFont="1" applyFill="1" applyBorder="1"/>
    <xf numFmtId="188" fontId="3" fillId="2" borderId="8" xfId="0" applyNumberFormat="1" applyFont="1" applyFill="1" applyBorder="1" applyAlignment="1" applyProtection="1">
      <protection locked="0"/>
    </xf>
    <xf numFmtId="0" fontId="3" fillId="2" borderId="40" xfId="0" applyFont="1" applyFill="1" applyBorder="1"/>
    <xf numFmtId="2" fontId="3" fillId="2" borderId="40" xfId="0" applyNumberFormat="1" applyFont="1" applyFill="1" applyBorder="1" applyAlignment="1" applyProtection="1">
      <protection locked="0"/>
    </xf>
    <xf numFmtId="0" fontId="5" fillId="2" borderId="37" xfId="0" applyFont="1" applyFill="1" applyBorder="1" applyAlignment="1" applyProtection="1">
      <alignment wrapText="1"/>
      <protection locked="0"/>
    </xf>
    <xf numFmtId="0" fontId="5" fillId="2" borderId="32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wrapText="1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5" fillId="2" borderId="41" xfId="0" applyFont="1" applyFill="1" applyBorder="1" applyAlignment="1">
      <alignment horizontal="center" wrapText="1"/>
    </xf>
    <xf numFmtId="0" fontId="20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/>
    <xf numFmtId="0" fontId="8" fillId="2" borderId="2" xfId="0" applyFont="1" applyFill="1" applyBorder="1" applyAlignment="1"/>
    <xf numFmtId="0" fontId="8" fillId="2" borderId="1" xfId="0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center"/>
    </xf>
    <xf numFmtId="188" fontId="3" fillId="2" borderId="35" xfId="0" applyNumberFormat="1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alignment horizontal="center" vertical="center" textRotation="90" wrapText="1"/>
      <protection locked="0"/>
    </xf>
    <xf numFmtId="0" fontId="3" fillId="2" borderId="42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textRotation="90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>
      <alignment horizontal="center" vertical="center" wrapText="1"/>
    </xf>
    <xf numFmtId="188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0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188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88" fontId="5" fillId="2" borderId="1" xfId="0" applyNumberFormat="1" applyFont="1" applyFill="1" applyBorder="1" applyAlignment="1">
      <alignment horizontal="center" vertical="center" wrapText="1"/>
    </xf>
    <xf numFmtId="20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20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88" fontId="5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88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  <protection locked="0"/>
    </xf>
    <xf numFmtId="188" fontId="3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88" fontId="3" fillId="2" borderId="39" xfId="0" applyNumberFormat="1" applyFont="1" applyFill="1" applyBorder="1" applyAlignment="1">
      <alignment horizontal="center" vertical="center"/>
    </xf>
    <xf numFmtId="188" fontId="3" fillId="2" borderId="37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5" xfId="0" applyFont="1" applyFill="1" applyBorder="1" applyAlignment="1" applyProtection="1">
      <alignment horizont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textRotation="90" wrapText="1"/>
      <protection locked="0"/>
    </xf>
    <xf numFmtId="0" fontId="3" fillId="2" borderId="45" xfId="0" applyFont="1" applyFill="1" applyBorder="1" applyAlignment="1" applyProtection="1">
      <alignment horizontal="center" textRotation="90" wrapText="1"/>
      <protection locked="0"/>
    </xf>
    <xf numFmtId="0" fontId="3" fillId="2" borderId="5" xfId="0" applyFont="1" applyFill="1" applyBorder="1" applyAlignment="1" applyProtection="1">
      <alignment horizontal="center" vertical="center" textRotation="90" wrapText="1"/>
      <protection locked="0"/>
    </xf>
    <xf numFmtId="0" fontId="5" fillId="2" borderId="44" xfId="0" applyFont="1" applyFill="1" applyBorder="1" applyAlignment="1">
      <alignment horizontal="center" vertical="center" textRotation="90" wrapText="1"/>
    </xf>
    <xf numFmtId="0" fontId="5" fillId="2" borderId="45" xfId="0" applyFont="1" applyFill="1" applyBorder="1" applyAlignment="1">
      <alignment horizontal="center" vertical="center" textRotation="90" wrapText="1"/>
    </xf>
    <xf numFmtId="0" fontId="3" fillId="2" borderId="46" xfId="0" applyFont="1" applyFill="1" applyBorder="1" applyAlignment="1" applyProtection="1">
      <alignment horizontal="center" vertical="center" wrapText="1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44" xfId="0" applyFont="1" applyFill="1" applyBorder="1" applyAlignment="1" applyProtection="1">
      <alignment horizontal="center" textRotation="90" wrapText="1"/>
      <protection locked="0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291"/>
  <sheetViews>
    <sheetView tabSelected="1" zoomScale="70" zoomScaleNormal="70" workbookViewId="0">
      <pane ySplit="9" topLeftCell="A61" activePane="bottomLeft" state="frozen"/>
      <selection pane="bottomLeft" activeCell="AF63" sqref="AF63"/>
    </sheetView>
  </sheetViews>
  <sheetFormatPr defaultColWidth="9.1796875" defaultRowHeight="13" x14ac:dyDescent="0.3"/>
  <cols>
    <col min="1" max="1" width="3.81640625" style="7" customWidth="1"/>
    <col min="2" max="2" width="6.1796875" style="7" customWidth="1"/>
    <col min="3" max="3" width="5.54296875" style="7" hidden="1" customWidth="1"/>
    <col min="4" max="4" width="13.54296875" style="7" customWidth="1"/>
    <col min="5" max="5" width="4.54296875" style="7" customWidth="1"/>
    <col min="6" max="6" width="6" style="7" customWidth="1"/>
    <col min="7" max="7" width="10" style="7" customWidth="1"/>
    <col min="8" max="8" width="3.81640625" style="7" customWidth="1"/>
    <col min="9" max="9" width="4.81640625" style="7" hidden="1" customWidth="1"/>
    <col min="10" max="10" width="5" style="7" customWidth="1"/>
    <col min="11" max="11" width="4.54296875" style="7" hidden="1" customWidth="1"/>
    <col min="12" max="12" width="6.54296875" style="7" customWidth="1"/>
    <col min="13" max="13" width="6.7265625" style="7" customWidth="1"/>
    <col min="14" max="14" width="9.26953125" style="12" customWidth="1"/>
    <col min="15" max="16" width="9.81640625" style="12" customWidth="1"/>
    <col min="17" max="17" width="11.453125" style="199" customWidth="1"/>
    <col min="18" max="18" width="10" style="199" customWidth="1"/>
    <col min="19" max="21" width="9.1796875" style="199" customWidth="1"/>
    <col min="22" max="26" width="9.1796875" style="7" customWidth="1"/>
    <col min="27" max="27" width="10.453125" style="7" customWidth="1"/>
    <col min="28" max="28" width="13.1796875" style="7" customWidth="1"/>
    <col min="29" max="16384" width="9.1796875" style="7"/>
  </cols>
  <sheetData>
    <row r="1" spans="1:28" ht="15" x14ac:dyDescent="0.3">
      <c r="A1" s="266" t="s">
        <v>193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</row>
    <row r="2" spans="1:28" ht="15.75" customHeight="1" x14ac:dyDescent="0.3">
      <c r="A2" s="265" t="s">
        <v>216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</row>
    <row r="3" spans="1:28" ht="15.75" customHeight="1" x14ac:dyDescent="0.3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</row>
    <row r="4" spans="1:28" x14ac:dyDescent="0.3">
      <c r="A4" s="8"/>
      <c r="B4" s="8"/>
      <c r="C4" s="8"/>
      <c r="D4" s="8"/>
      <c r="E4" s="8"/>
      <c r="U4" s="198"/>
      <c r="V4" s="8"/>
      <c r="W4" s="8"/>
      <c r="X4" s="8"/>
      <c r="Y4" s="8"/>
      <c r="Z4" s="8"/>
      <c r="AA4" s="8"/>
      <c r="AB4" s="8"/>
    </row>
    <row r="5" spans="1:28" ht="21.75" customHeight="1" thickBot="1" x14ac:dyDescent="0.35">
      <c r="A5" s="266"/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198"/>
      <c r="S5" s="200"/>
      <c r="T5" s="200"/>
      <c r="U5" s="200"/>
      <c r="V5" s="14"/>
      <c r="W5" s="14"/>
      <c r="X5" s="14"/>
      <c r="Y5" s="14"/>
      <c r="Z5" s="14"/>
      <c r="AA5" s="14"/>
      <c r="AB5" s="14"/>
    </row>
    <row r="6" spans="1:28" ht="13.5" customHeight="1" thickBot="1" x14ac:dyDescent="0.35">
      <c r="A6" s="267" t="s">
        <v>158</v>
      </c>
      <c r="B6" s="253" t="s">
        <v>154</v>
      </c>
      <c r="C6" s="253" t="s">
        <v>169</v>
      </c>
      <c r="D6" s="267" t="s">
        <v>161</v>
      </c>
      <c r="E6" s="253" t="s">
        <v>153</v>
      </c>
      <c r="F6" s="253" t="s">
        <v>148</v>
      </c>
      <c r="G6" s="253" t="s">
        <v>172</v>
      </c>
      <c r="H6" s="253" t="s">
        <v>149</v>
      </c>
      <c r="I6" s="253" t="s">
        <v>150</v>
      </c>
      <c r="J6" s="253" t="s">
        <v>151</v>
      </c>
      <c r="K6" s="253" t="s">
        <v>152</v>
      </c>
      <c r="L6" s="263" t="s">
        <v>166</v>
      </c>
      <c r="M6" s="263" t="s">
        <v>170</v>
      </c>
      <c r="N6" s="253" t="s">
        <v>194</v>
      </c>
      <c r="O6" s="256" t="s">
        <v>1</v>
      </c>
      <c r="P6" s="257"/>
      <c r="Q6" s="260" t="s">
        <v>0</v>
      </c>
      <c r="R6" s="260"/>
      <c r="S6" s="260"/>
      <c r="T6" s="260"/>
      <c r="U6" s="260"/>
      <c r="V6" s="260"/>
      <c r="W6" s="261"/>
      <c r="X6" s="251" t="s">
        <v>157</v>
      </c>
      <c r="Y6" s="251" t="s">
        <v>201</v>
      </c>
      <c r="Z6" s="251" t="s">
        <v>202</v>
      </c>
      <c r="AA6" s="244" t="s">
        <v>164</v>
      </c>
      <c r="AB6" s="245"/>
    </row>
    <row r="7" spans="1:28" ht="22.5" customHeight="1" thickBot="1" x14ac:dyDescent="0.35">
      <c r="A7" s="268"/>
      <c r="B7" s="254"/>
      <c r="C7" s="254" t="s">
        <v>35</v>
      </c>
      <c r="D7" s="268"/>
      <c r="E7" s="254"/>
      <c r="F7" s="254"/>
      <c r="G7" s="254"/>
      <c r="H7" s="254"/>
      <c r="I7" s="254"/>
      <c r="J7" s="254"/>
      <c r="K7" s="254"/>
      <c r="L7" s="264"/>
      <c r="M7" s="264"/>
      <c r="N7" s="254"/>
      <c r="O7" s="258"/>
      <c r="P7" s="259"/>
      <c r="Q7" s="248" t="s">
        <v>171</v>
      </c>
      <c r="R7" s="249"/>
      <c r="S7" s="250" t="s">
        <v>26</v>
      </c>
      <c r="T7" s="249"/>
      <c r="U7" s="201" t="s">
        <v>160</v>
      </c>
      <c r="V7" s="251" t="s">
        <v>155</v>
      </c>
      <c r="W7" s="251" t="s">
        <v>156</v>
      </c>
      <c r="X7" s="262"/>
      <c r="Y7" s="262"/>
      <c r="Z7" s="262"/>
      <c r="AA7" s="246"/>
      <c r="AB7" s="247"/>
    </row>
    <row r="8" spans="1:28" ht="58.5" customHeight="1" thickBot="1" x14ac:dyDescent="0.35">
      <c r="A8" s="269"/>
      <c r="B8" s="255"/>
      <c r="C8" s="255" t="s">
        <v>36</v>
      </c>
      <c r="D8" s="269"/>
      <c r="E8" s="255"/>
      <c r="F8" s="255"/>
      <c r="G8" s="255"/>
      <c r="H8" s="255"/>
      <c r="I8" s="255"/>
      <c r="J8" s="255"/>
      <c r="K8" s="255"/>
      <c r="L8" s="15" t="s">
        <v>165</v>
      </c>
      <c r="M8" s="194" t="s">
        <v>167</v>
      </c>
      <c r="N8" s="255"/>
      <c r="O8" s="16" t="s">
        <v>2</v>
      </c>
      <c r="P8" s="16" t="s">
        <v>168</v>
      </c>
      <c r="Q8" s="202" t="s">
        <v>2</v>
      </c>
      <c r="R8" s="16" t="s">
        <v>168</v>
      </c>
      <c r="S8" s="202" t="s">
        <v>2</v>
      </c>
      <c r="T8" s="16" t="s">
        <v>168</v>
      </c>
      <c r="U8" s="16" t="s">
        <v>2</v>
      </c>
      <c r="V8" s="252"/>
      <c r="W8" s="252"/>
      <c r="X8" s="252"/>
      <c r="Y8" s="252"/>
      <c r="Z8" s="252"/>
      <c r="AA8" s="17" t="s">
        <v>144</v>
      </c>
      <c r="AB8" s="18" t="s">
        <v>143</v>
      </c>
    </row>
    <row r="9" spans="1:28" ht="13.5" thickBot="1" x14ac:dyDescent="0.35">
      <c r="A9" s="19">
        <v>1</v>
      </c>
      <c r="B9" s="19">
        <v>2</v>
      </c>
      <c r="C9" s="19">
        <v>3</v>
      </c>
      <c r="D9" s="19">
        <v>3</v>
      </c>
      <c r="E9" s="19">
        <v>4</v>
      </c>
      <c r="F9" s="19">
        <v>5</v>
      </c>
      <c r="G9" s="19">
        <v>6</v>
      </c>
      <c r="H9" s="19">
        <v>7</v>
      </c>
      <c r="I9" s="19">
        <v>8</v>
      </c>
      <c r="J9" s="19">
        <v>9</v>
      </c>
      <c r="K9" s="19">
        <v>10</v>
      </c>
      <c r="L9" s="19">
        <v>11</v>
      </c>
      <c r="M9" s="19">
        <v>12</v>
      </c>
      <c r="N9" s="19">
        <v>13</v>
      </c>
      <c r="O9" s="19">
        <v>14</v>
      </c>
      <c r="P9" s="19">
        <v>15</v>
      </c>
      <c r="Q9" s="203">
        <v>19</v>
      </c>
      <c r="R9" s="203">
        <v>20</v>
      </c>
      <c r="S9" s="204">
        <v>21</v>
      </c>
      <c r="T9" s="205">
        <v>22</v>
      </c>
      <c r="U9" s="203">
        <v>23</v>
      </c>
      <c r="V9" s="195">
        <v>24</v>
      </c>
      <c r="W9" s="19">
        <v>25</v>
      </c>
      <c r="X9" s="195">
        <v>26</v>
      </c>
      <c r="Y9" s="19">
        <v>27</v>
      </c>
      <c r="Z9" s="196">
        <v>28</v>
      </c>
      <c r="AA9" s="196">
        <v>29</v>
      </c>
      <c r="AB9" s="196">
        <v>30</v>
      </c>
    </row>
    <row r="10" spans="1:28" ht="13.5" thickBot="1" x14ac:dyDescent="0.35">
      <c r="A10" s="163"/>
      <c r="B10" s="164"/>
      <c r="C10" s="164"/>
      <c r="D10" s="165" t="s">
        <v>3</v>
      </c>
      <c r="E10" s="164"/>
      <c r="F10" s="164"/>
      <c r="G10" s="164"/>
      <c r="H10" s="164"/>
      <c r="I10" s="164"/>
      <c r="J10" s="164"/>
      <c r="K10" s="164"/>
      <c r="L10" s="164"/>
      <c r="M10" s="164"/>
      <c r="N10" s="178"/>
      <c r="O10" s="166"/>
      <c r="P10" s="167" t="s">
        <v>4</v>
      </c>
      <c r="Q10" s="206"/>
      <c r="R10" s="207"/>
      <c r="S10" s="207"/>
      <c r="T10" s="207"/>
      <c r="U10" s="208"/>
      <c r="V10" s="153"/>
      <c r="W10" s="153"/>
      <c r="X10" s="153"/>
      <c r="Y10" s="153"/>
      <c r="Z10" s="153"/>
      <c r="AA10" s="154"/>
      <c r="AB10" s="155"/>
    </row>
    <row r="11" spans="1:28" x14ac:dyDescent="0.3">
      <c r="A11" s="158">
        <v>1</v>
      </c>
      <c r="B11" s="70">
        <v>1981</v>
      </c>
      <c r="C11" s="70" t="s">
        <v>5</v>
      </c>
      <c r="D11" s="159" t="s">
        <v>6</v>
      </c>
      <c r="E11" s="160">
        <v>15</v>
      </c>
      <c r="F11" s="160" t="s">
        <v>7</v>
      </c>
      <c r="G11" s="160">
        <v>8</v>
      </c>
      <c r="H11" s="152">
        <v>5</v>
      </c>
      <c r="I11" s="152">
        <v>1</v>
      </c>
      <c r="J11" s="152">
        <v>6</v>
      </c>
      <c r="K11" s="152"/>
      <c r="L11" s="152">
        <v>84</v>
      </c>
      <c r="M11" s="70">
        <v>244</v>
      </c>
      <c r="N11" s="161">
        <f>O11+Q11+S11+U11+V11+W11</f>
        <v>4677.7000000000007</v>
      </c>
      <c r="O11" s="161">
        <v>4004.5</v>
      </c>
      <c r="P11" s="162">
        <f>2824.4+3.6-T11+0.4</f>
        <v>2828.4</v>
      </c>
      <c r="Q11" s="209"/>
      <c r="R11" s="210"/>
      <c r="S11" s="211">
        <f>58.8+107.8+43.9+45.1</f>
        <v>255.6</v>
      </c>
      <c r="T11" s="210"/>
      <c r="U11" s="212"/>
      <c r="V11" s="37">
        <v>402</v>
      </c>
      <c r="W11" s="24">
        <v>15.6</v>
      </c>
      <c r="X11" s="25">
        <f>V11*1.3</f>
        <v>522.6</v>
      </c>
      <c r="Y11" s="25">
        <f t="shared" ref="Y11:Y20" si="0">X11/H11*3+W11</f>
        <v>329.16000000000008</v>
      </c>
      <c r="Z11" s="25">
        <f>W11+X11-Y11</f>
        <v>209.03999999999996</v>
      </c>
      <c r="AA11" s="26">
        <v>94.8</v>
      </c>
      <c r="AB11" s="27"/>
    </row>
    <row r="12" spans="1:28" x14ac:dyDescent="0.3">
      <c r="A12" s="28">
        <v>2</v>
      </c>
      <c r="B12" s="29">
        <v>1980</v>
      </c>
      <c r="C12" s="20" t="s">
        <v>5</v>
      </c>
      <c r="D12" s="30" t="s">
        <v>6</v>
      </c>
      <c r="E12" s="31">
        <v>19</v>
      </c>
      <c r="F12" s="31" t="s">
        <v>7</v>
      </c>
      <c r="G12" s="31">
        <v>8</v>
      </c>
      <c r="H12" s="20">
        <v>5</v>
      </c>
      <c r="I12" s="20">
        <v>1</v>
      </c>
      <c r="J12" s="20">
        <v>6</v>
      </c>
      <c r="K12" s="20"/>
      <c r="L12" s="20">
        <v>87</v>
      </c>
      <c r="M12" s="29">
        <v>254</v>
      </c>
      <c r="N12" s="23">
        <f t="shared" ref="N12:N20" si="1">O12+Q12+S12+U12+V12+W12</f>
        <v>5059.1000000000004</v>
      </c>
      <c r="O12" s="23">
        <v>4179.3</v>
      </c>
      <c r="P12" s="33">
        <f>2873.6-3.2+0.2-3.3-0.1-2.8-3.4-0.2+1.4+0.3</f>
        <v>2862.5</v>
      </c>
      <c r="Q12" s="213"/>
      <c r="R12" s="210"/>
      <c r="S12" s="210">
        <f>404.4+60.4</f>
        <v>464.79999999999995</v>
      </c>
      <c r="T12" s="210"/>
      <c r="U12" s="210"/>
      <c r="V12" s="24">
        <f>10.9+11+11.1+11.1+10.9+11.1+82.6+82.6+82.5+82.6</f>
        <v>396.4</v>
      </c>
      <c r="W12" s="24">
        <f>415-V12</f>
        <v>18.600000000000023</v>
      </c>
      <c r="X12" s="25">
        <f t="shared" ref="X12:X20" si="2">V12*1.3</f>
        <v>515.31999999999994</v>
      </c>
      <c r="Y12" s="25">
        <f t="shared" si="0"/>
        <v>327.79200000000003</v>
      </c>
      <c r="Z12" s="25">
        <f t="shared" ref="Z12:Z20" si="3">W12+X12-Y12</f>
        <v>206.12799999999993</v>
      </c>
      <c r="AA12" s="26">
        <v>96</v>
      </c>
      <c r="AB12" s="27"/>
    </row>
    <row r="13" spans="1:28" x14ac:dyDescent="0.3">
      <c r="A13" s="28">
        <v>3</v>
      </c>
      <c r="B13" s="29">
        <v>1980</v>
      </c>
      <c r="C13" s="20" t="s">
        <v>9</v>
      </c>
      <c r="D13" s="30" t="s">
        <v>8</v>
      </c>
      <c r="E13" s="31">
        <v>22</v>
      </c>
      <c r="F13" s="31" t="s">
        <v>7</v>
      </c>
      <c r="G13" s="31">
        <v>8</v>
      </c>
      <c r="H13" s="20">
        <v>5</v>
      </c>
      <c r="I13" s="20">
        <v>1</v>
      </c>
      <c r="J13" s="20">
        <v>6</v>
      </c>
      <c r="K13" s="20"/>
      <c r="L13" s="20">
        <v>90</v>
      </c>
      <c r="M13" s="29">
        <v>236</v>
      </c>
      <c r="N13" s="23">
        <f t="shared" si="1"/>
        <v>4881.7000000000007</v>
      </c>
      <c r="O13" s="23">
        <v>4449.8</v>
      </c>
      <c r="P13" s="35">
        <v>2572.1999999999998</v>
      </c>
      <c r="Q13" s="213"/>
      <c r="R13" s="210"/>
      <c r="S13" s="210"/>
      <c r="T13" s="210"/>
      <c r="U13" s="210"/>
      <c r="V13" s="24">
        <v>370.8</v>
      </c>
      <c r="W13" s="24">
        <v>61.1</v>
      </c>
      <c r="X13" s="25">
        <f t="shared" si="2"/>
        <v>482.04</v>
      </c>
      <c r="Y13" s="25">
        <f t="shared" si="0"/>
        <v>350.32400000000001</v>
      </c>
      <c r="Z13" s="25">
        <f t="shared" si="3"/>
        <v>192.81599999999997</v>
      </c>
      <c r="AA13" s="26">
        <v>86.4</v>
      </c>
      <c r="AB13" s="27"/>
    </row>
    <row r="14" spans="1:28" x14ac:dyDescent="0.3">
      <c r="A14" s="36">
        <v>4</v>
      </c>
      <c r="B14" s="29">
        <v>1982</v>
      </c>
      <c r="C14" s="29" t="s">
        <v>9</v>
      </c>
      <c r="D14" s="30" t="s">
        <v>8</v>
      </c>
      <c r="E14" s="31">
        <v>26</v>
      </c>
      <c r="F14" s="31" t="s">
        <v>7</v>
      </c>
      <c r="G14" s="31">
        <v>8</v>
      </c>
      <c r="H14" s="20">
        <v>5</v>
      </c>
      <c r="I14" s="20">
        <v>1</v>
      </c>
      <c r="J14" s="20">
        <v>8</v>
      </c>
      <c r="K14" s="20"/>
      <c r="L14" s="20">
        <v>120</v>
      </c>
      <c r="M14" s="29">
        <v>331</v>
      </c>
      <c r="N14" s="23">
        <f t="shared" si="1"/>
        <v>6616</v>
      </c>
      <c r="O14" s="23">
        <v>5954.1</v>
      </c>
      <c r="P14" s="33">
        <f>3429.6-0.5+0.2</f>
        <v>3429.2999999999997</v>
      </c>
      <c r="Q14" s="213"/>
      <c r="R14" s="210"/>
      <c r="S14" s="210"/>
      <c r="T14" s="210"/>
      <c r="U14" s="210"/>
      <c r="V14" s="24">
        <v>572.20000000000005</v>
      </c>
      <c r="W14" s="24">
        <v>89.7</v>
      </c>
      <c r="X14" s="25">
        <f t="shared" si="2"/>
        <v>743.86000000000013</v>
      </c>
      <c r="Y14" s="25">
        <f t="shared" si="0"/>
        <v>536.01600000000008</v>
      </c>
      <c r="Z14" s="25">
        <f t="shared" si="3"/>
        <v>297.5440000000001</v>
      </c>
      <c r="AA14" s="26">
        <v>115.2</v>
      </c>
      <c r="AB14" s="27"/>
    </row>
    <row r="15" spans="1:28" ht="11.25" customHeight="1" x14ac:dyDescent="0.3">
      <c r="A15" s="158">
        <v>5</v>
      </c>
      <c r="B15" s="29">
        <v>1983</v>
      </c>
      <c r="C15" s="29">
        <v>1982</v>
      </c>
      <c r="D15" s="22" t="s">
        <v>12</v>
      </c>
      <c r="E15" s="31" t="s">
        <v>13</v>
      </c>
      <c r="F15" s="31" t="s">
        <v>7</v>
      </c>
      <c r="G15" s="31">
        <v>8</v>
      </c>
      <c r="H15" s="20">
        <v>5</v>
      </c>
      <c r="I15" s="20">
        <v>1</v>
      </c>
      <c r="J15" s="20">
        <v>6</v>
      </c>
      <c r="K15" s="20"/>
      <c r="L15" s="20">
        <v>90</v>
      </c>
      <c r="M15" s="29">
        <v>267</v>
      </c>
      <c r="N15" s="23">
        <f t="shared" si="1"/>
        <v>4907.7</v>
      </c>
      <c r="O15" s="23">
        <v>4426</v>
      </c>
      <c r="P15" s="35">
        <f>2569.9-0.1-0.4+0</f>
        <v>2569.4</v>
      </c>
      <c r="Q15" s="213"/>
      <c r="R15" s="210"/>
      <c r="S15" s="210"/>
      <c r="T15" s="210"/>
      <c r="U15" s="210"/>
      <c r="V15" s="24">
        <v>420.3</v>
      </c>
      <c r="W15" s="24">
        <v>61.4</v>
      </c>
      <c r="X15" s="25">
        <f t="shared" si="2"/>
        <v>546.39</v>
      </c>
      <c r="Y15" s="25">
        <f t="shared" si="0"/>
        <v>389.23399999999992</v>
      </c>
      <c r="Z15" s="25">
        <f t="shared" si="3"/>
        <v>218.55600000000004</v>
      </c>
      <c r="AA15" s="26">
        <v>86.4</v>
      </c>
      <c r="AB15" s="27"/>
    </row>
    <row r="16" spans="1:28" x14ac:dyDescent="0.3">
      <c r="A16" s="28">
        <v>6</v>
      </c>
      <c r="B16" s="29">
        <v>1981</v>
      </c>
      <c r="C16" s="20" t="s">
        <v>9</v>
      </c>
      <c r="D16" s="30" t="s">
        <v>10</v>
      </c>
      <c r="E16" s="31">
        <v>71</v>
      </c>
      <c r="F16" s="31" t="s">
        <v>7</v>
      </c>
      <c r="G16" s="31">
        <v>8</v>
      </c>
      <c r="H16" s="20">
        <v>5</v>
      </c>
      <c r="I16" s="20">
        <v>1</v>
      </c>
      <c r="J16" s="20">
        <v>6</v>
      </c>
      <c r="K16" s="20"/>
      <c r="L16" s="20">
        <v>90</v>
      </c>
      <c r="M16" s="29">
        <v>239</v>
      </c>
      <c r="N16" s="23">
        <f t="shared" si="1"/>
        <v>4953.6000000000004</v>
      </c>
      <c r="O16" s="23">
        <v>4459.3</v>
      </c>
      <c r="P16" s="35">
        <f>2564.6+0.1+3.1</f>
        <v>2567.7999999999997</v>
      </c>
      <c r="Q16" s="213"/>
      <c r="R16" s="210"/>
      <c r="S16" s="210"/>
      <c r="T16" s="210"/>
      <c r="U16" s="210"/>
      <c r="V16" s="24">
        <v>427.7</v>
      </c>
      <c r="W16" s="24">
        <v>66.599999999999994</v>
      </c>
      <c r="X16" s="25">
        <f t="shared" si="2"/>
        <v>556.01</v>
      </c>
      <c r="Y16" s="25">
        <f t="shared" si="0"/>
        <v>400.20600000000002</v>
      </c>
      <c r="Z16" s="25">
        <f t="shared" si="3"/>
        <v>222.404</v>
      </c>
      <c r="AA16" s="26">
        <v>86.4</v>
      </c>
      <c r="AB16" s="27"/>
    </row>
    <row r="17" spans="1:28" x14ac:dyDescent="0.3">
      <c r="A17" s="28">
        <v>7</v>
      </c>
      <c r="B17" s="29">
        <v>1981</v>
      </c>
      <c r="C17" s="29" t="s">
        <v>9</v>
      </c>
      <c r="D17" s="30" t="s">
        <v>10</v>
      </c>
      <c r="E17" s="31">
        <v>73</v>
      </c>
      <c r="F17" s="31" t="s">
        <v>7</v>
      </c>
      <c r="G17" s="31">
        <v>8</v>
      </c>
      <c r="H17" s="20">
        <v>5</v>
      </c>
      <c r="I17" s="20">
        <v>1</v>
      </c>
      <c r="J17" s="20">
        <v>6</v>
      </c>
      <c r="K17" s="20"/>
      <c r="L17" s="20">
        <v>89</v>
      </c>
      <c r="M17" s="29">
        <v>227</v>
      </c>
      <c r="N17" s="23">
        <f>O17+Q17+S17+U17+V17+W17</f>
        <v>4942.51</v>
      </c>
      <c r="O17" s="23">
        <v>4411.3100000000004</v>
      </c>
      <c r="P17" s="35">
        <f>2579.3-0.3-R17+0.4</f>
        <v>2579.4</v>
      </c>
      <c r="Q17" s="214">
        <f>48.4</f>
        <v>48.4</v>
      </c>
      <c r="R17" s="212"/>
      <c r="S17" s="210"/>
      <c r="T17" s="210"/>
      <c r="U17" s="210"/>
      <c r="V17" s="24">
        <v>416.3</v>
      </c>
      <c r="W17" s="24">
        <v>66.5</v>
      </c>
      <c r="X17" s="25">
        <f t="shared" si="2"/>
        <v>541.19000000000005</v>
      </c>
      <c r="Y17" s="25">
        <f t="shared" si="0"/>
        <v>391.21400000000006</v>
      </c>
      <c r="Z17" s="25">
        <f t="shared" si="3"/>
        <v>216.476</v>
      </c>
      <c r="AA17" s="26">
        <v>85.2</v>
      </c>
      <c r="AB17" s="27"/>
    </row>
    <row r="18" spans="1:28" x14ac:dyDescent="0.3">
      <c r="A18" s="36">
        <v>8</v>
      </c>
      <c r="B18" s="29">
        <v>1982</v>
      </c>
      <c r="C18" s="20" t="s">
        <v>11</v>
      </c>
      <c r="D18" s="30" t="s">
        <v>10</v>
      </c>
      <c r="E18" s="31">
        <v>75</v>
      </c>
      <c r="F18" s="31" t="s">
        <v>7</v>
      </c>
      <c r="G18" s="31">
        <v>8</v>
      </c>
      <c r="H18" s="20">
        <v>5</v>
      </c>
      <c r="I18" s="20">
        <v>1</v>
      </c>
      <c r="J18" s="20">
        <v>6</v>
      </c>
      <c r="K18" s="20"/>
      <c r="L18" s="20">
        <v>90</v>
      </c>
      <c r="M18" s="29">
        <v>241</v>
      </c>
      <c r="N18" s="23">
        <f t="shared" si="1"/>
        <v>4954.7</v>
      </c>
      <c r="O18" s="23">
        <v>4453.5</v>
      </c>
      <c r="P18" s="35">
        <f>2584.7+2.3</f>
        <v>2587</v>
      </c>
      <c r="Q18" s="213"/>
      <c r="R18" s="210"/>
      <c r="S18" s="210"/>
      <c r="T18" s="210"/>
      <c r="U18" s="210"/>
      <c r="V18" s="24">
        <v>435.2</v>
      </c>
      <c r="W18" s="24">
        <v>66</v>
      </c>
      <c r="X18" s="25">
        <f t="shared" si="2"/>
        <v>565.76</v>
      </c>
      <c r="Y18" s="25">
        <f t="shared" si="0"/>
        <v>405.45600000000002</v>
      </c>
      <c r="Z18" s="25">
        <f t="shared" si="3"/>
        <v>226.30399999999997</v>
      </c>
      <c r="AA18" s="26">
        <v>85.2</v>
      </c>
      <c r="AB18" s="27"/>
    </row>
    <row r="19" spans="1:28" x14ac:dyDescent="0.3">
      <c r="A19" s="158">
        <v>9</v>
      </c>
      <c r="B19" s="29">
        <v>1981</v>
      </c>
      <c r="C19" s="29" t="s">
        <v>9</v>
      </c>
      <c r="D19" s="30" t="s">
        <v>10</v>
      </c>
      <c r="E19" s="31">
        <v>77</v>
      </c>
      <c r="F19" s="31" t="s">
        <v>7</v>
      </c>
      <c r="G19" s="31">
        <v>8</v>
      </c>
      <c r="H19" s="20">
        <v>5</v>
      </c>
      <c r="I19" s="20">
        <v>1</v>
      </c>
      <c r="J19" s="20">
        <v>8</v>
      </c>
      <c r="K19" s="20"/>
      <c r="L19" s="20">
        <v>117</v>
      </c>
      <c r="M19" s="29">
        <v>307</v>
      </c>
      <c r="N19" s="23">
        <f>O19+Q19+S19+V19+W19</f>
        <v>6579.8</v>
      </c>
      <c r="O19" s="23">
        <v>5777.1</v>
      </c>
      <c r="P19" s="33">
        <f>3332.4+0.1-0.2+0-0.3</f>
        <v>3332</v>
      </c>
      <c r="Q19" s="213"/>
      <c r="R19" s="210"/>
      <c r="S19" s="210">
        <v>137.1</v>
      </c>
      <c r="T19" s="210"/>
      <c r="U19" s="198"/>
      <c r="V19" s="24">
        <f>12.7+12.7+12.7+12.7+12.6+12.5+12.9+12.7+114+113.9+114+114</f>
        <v>557.4</v>
      </c>
      <c r="W19" s="37">
        <f>665.6-V19</f>
        <v>108.20000000000005</v>
      </c>
      <c r="X19" s="25">
        <f t="shared" si="2"/>
        <v>724.62</v>
      </c>
      <c r="Y19" s="25">
        <f t="shared" si="0"/>
        <v>542.97200000000009</v>
      </c>
      <c r="Z19" s="25">
        <f t="shared" si="3"/>
        <v>289.84799999999996</v>
      </c>
      <c r="AA19" s="26">
        <v>115.2</v>
      </c>
      <c r="AB19" s="27"/>
    </row>
    <row r="20" spans="1:28" ht="13.5" thickBot="1" x14ac:dyDescent="0.35">
      <c r="A20" s="28">
        <v>10</v>
      </c>
      <c r="B20" s="29">
        <v>1981</v>
      </c>
      <c r="C20" s="20" t="s">
        <v>9</v>
      </c>
      <c r="D20" s="30" t="s">
        <v>10</v>
      </c>
      <c r="E20" s="31">
        <v>79</v>
      </c>
      <c r="F20" s="31" t="s">
        <v>7</v>
      </c>
      <c r="G20" s="31">
        <v>8</v>
      </c>
      <c r="H20" s="20">
        <v>5</v>
      </c>
      <c r="I20" s="20">
        <v>1</v>
      </c>
      <c r="J20" s="20">
        <v>8</v>
      </c>
      <c r="K20" s="20"/>
      <c r="L20" s="20">
        <v>120</v>
      </c>
      <c r="M20" s="29">
        <v>323</v>
      </c>
      <c r="N20" s="23">
        <f t="shared" si="1"/>
        <v>6598.1</v>
      </c>
      <c r="O20" s="23">
        <v>5945</v>
      </c>
      <c r="P20" s="33">
        <f>3421.9-0.4</f>
        <v>3421.5</v>
      </c>
      <c r="Q20" s="213"/>
      <c r="R20" s="210"/>
      <c r="S20" s="210"/>
      <c r="T20" s="210"/>
      <c r="U20" s="215"/>
      <c r="V20" s="37">
        <v>567</v>
      </c>
      <c r="W20" s="24">
        <v>86.1</v>
      </c>
      <c r="X20" s="25">
        <f t="shared" si="2"/>
        <v>737.1</v>
      </c>
      <c r="Y20" s="25">
        <f t="shared" si="0"/>
        <v>528.36</v>
      </c>
      <c r="Z20" s="25">
        <f t="shared" si="3"/>
        <v>294.84000000000003</v>
      </c>
      <c r="AA20" s="39">
        <v>115.2</v>
      </c>
      <c r="AB20" s="40"/>
    </row>
    <row r="21" spans="1:28" ht="13.5" thickBot="1" x14ac:dyDescent="0.35">
      <c r="A21" s="28"/>
      <c r="B21" s="20"/>
      <c r="C21" s="20"/>
      <c r="D21" s="41"/>
      <c r="E21" s="31"/>
      <c r="F21" s="20"/>
      <c r="G21" s="20"/>
      <c r="H21" s="20"/>
      <c r="I21" s="31">
        <f t="shared" ref="I21:AB21" si="4">SUM(I11:I20)</f>
        <v>10</v>
      </c>
      <c r="J21" s="31">
        <f t="shared" si="4"/>
        <v>66</v>
      </c>
      <c r="K21" s="31">
        <f t="shared" si="4"/>
        <v>0</v>
      </c>
      <c r="L21" s="31">
        <f t="shared" si="4"/>
        <v>977</v>
      </c>
      <c r="M21" s="31">
        <f t="shared" si="4"/>
        <v>2669</v>
      </c>
      <c r="N21" s="42">
        <f t="shared" si="4"/>
        <v>54170.91</v>
      </c>
      <c r="O21" s="31">
        <f t="shared" si="4"/>
        <v>48059.909999999996</v>
      </c>
      <c r="P21" s="43">
        <f t="shared" si="4"/>
        <v>28749.5</v>
      </c>
      <c r="Q21" s="216">
        <f t="shared" si="4"/>
        <v>48.4</v>
      </c>
      <c r="R21" s="217">
        <f t="shared" si="4"/>
        <v>0</v>
      </c>
      <c r="S21" s="218">
        <f t="shared" si="4"/>
        <v>857.5</v>
      </c>
      <c r="T21" s="219">
        <f t="shared" si="4"/>
        <v>0</v>
      </c>
      <c r="U21" s="219">
        <f t="shared" si="4"/>
        <v>0</v>
      </c>
      <c r="V21" s="31">
        <f t="shared" si="4"/>
        <v>4565.3</v>
      </c>
      <c r="W21" s="31">
        <f t="shared" si="4"/>
        <v>639.80000000000007</v>
      </c>
      <c r="X21" s="31">
        <f t="shared" si="4"/>
        <v>5934.89</v>
      </c>
      <c r="Y21" s="31">
        <f t="shared" si="4"/>
        <v>4200.7340000000004</v>
      </c>
      <c r="Z21" s="31">
        <f t="shared" si="4"/>
        <v>2373.9560000000001</v>
      </c>
      <c r="AA21" s="196">
        <f t="shared" si="4"/>
        <v>966.00000000000023</v>
      </c>
      <c r="AB21" s="196">
        <f t="shared" si="4"/>
        <v>0</v>
      </c>
    </row>
    <row r="22" spans="1:28" x14ac:dyDescent="0.3">
      <c r="A22" s="36"/>
      <c r="B22" s="29"/>
      <c r="C22" s="29"/>
      <c r="D22" s="31" t="s">
        <v>16</v>
      </c>
      <c r="E22" s="31"/>
      <c r="F22" s="20"/>
      <c r="G22" s="20"/>
      <c r="H22" s="20"/>
      <c r="I22" s="20"/>
      <c r="J22" s="20"/>
      <c r="K22" s="20"/>
      <c r="L22" s="29"/>
      <c r="M22" s="45"/>
      <c r="N22" s="22"/>
      <c r="O22" s="22"/>
      <c r="P22" s="35"/>
      <c r="Q22" s="213"/>
      <c r="R22" s="210"/>
      <c r="S22" s="210"/>
      <c r="T22" s="210"/>
      <c r="U22" s="210"/>
      <c r="V22" s="29"/>
      <c r="W22" s="29"/>
      <c r="X22" s="46"/>
      <c r="Y22" s="29"/>
      <c r="Z22" s="29"/>
      <c r="AA22" s="47"/>
      <c r="AB22" s="47"/>
    </row>
    <row r="23" spans="1:28" x14ac:dyDescent="0.3">
      <c r="A23" s="36">
        <v>11</v>
      </c>
      <c r="B23" s="29">
        <v>1989</v>
      </c>
      <c r="C23" s="48" t="s">
        <v>162</v>
      </c>
      <c r="D23" s="30" t="s">
        <v>8</v>
      </c>
      <c r="E23" s="31">
        <v>21</v>
      </c>
      <c r="F23" s="31" t="s">
        <v>7</v>
      </c>
      <c r="G23" s="49" t="s">
        <v>178</v>
      </c>
      <c r="H23" s="29">
        <v>3</v>
      </c>
      <c r="I23" s="29">
        <v>1</v>
      </c>
      <c r="J23" s="29">
        <v>1</v>
      </c>
      <c r="K23" s="29">
        <v>2</v>
      </c>
      <c r="L23" s="29">
        <v>53</v>
      </c>
      <c r="M23" s="29">
        <v>132</v>
      </c>
      <c r="N23" s="22">
        <f>O23+Q23+S23+U23+V23+W23</f>
        <v>3718.4000000000005</v>
      </c>
      <c r="O23" s="38">
        <v>2818.8</v>
      </c>
      <c r="P23" s="50">
        <f>1553.5+0.5+37.9+0.1+0.2+1.8</f>
        <v>1594</v>
      </c>
      <c r="Q23" s="220"/>
      <c r="R23" s="212"/>
      <c r="S23" s="212"/>
      <c r="T23" s="210"/>
      <c r="U23" s="212"/>
      <c r="V23" s="20">
        <v>154.4</v>
      </c>
      <c r="W23" s="20">
        <f>800.6-12.3-31-4.4-10.3+2.6</f>
        <v>745.20000000000016</v>
      </c>
      <c r="X23" s="38">
        <f>V23*1.3</f>
        <v>200.72000000000003</v>
      </c>
      <c r="Y23" s="29">
        <f>W23+X23</f>
        <v>945.92000000000019</v>
      </c>
      <c r="Z23" s="46">
        <f>W23+X23-Y23</f>
        <v>0</v>
      </c>
      <c r="AA23" s="51"/>
      <c r="AB23" s="27"/>
    </row>
    <row r="24" spans="1:28" x14ac:dyDescent="0.3">
      <c r="A24" s="36">
        <v>12</v>
      </c>
      <c r="B24" s="29">
        <v>1993</v>
      </c>
      <c r="C24" s="29" t="s">
        <v>15</v>
      </c>
      <c r="D24" s="30" t="s">
        <v>8</v>
      </c>
      <c r="E24" s="31">
        <v>35</v>
      </c>
      <c r="F24" s="31" t="s">
        <v>7</v>
      </c>
      <c r="G24" s="31" t="s">
        <v>211</v>
      </c>
      <c r="H24" s="20">
        <v>5</v>
      </c>
      <c r="I24" s="20">
        <v>1</v>
      </c>
      <c r="J24" s="20">
        <v>4</v>
      </c>
      <c r="K24" s="20"/>
      <c r="L24" s="29">
        <v>70</v>
      </c>
      <c r="M24" s="29">
        <v>189</v>
      </c>
      <c r="N24" s="32">
        <f>O24+Q24+S24+U24+V24+W24</f>
        <v>3745.6</v>
      </c>
      <c r="O24" s="38">
        <v>3462.4</v>
      </c>
      <c r="P24" s="50">
        <f>2106.7-8.2-6.3-0.4-1.4-1.9+3.3</f>
        <v>2091.7999999999997</v>
      </c>
      <c r="Q24" s="213"/>
      <c r="R24" s="210"/>
      <c r="S24" s="210"/>
      <c r="T24" s="210"/>
      <c r="U24" s="210"/>
      <c r="V24" s="29">
        <v>271.60000000000002</v>
      </c>
      <c r="W24" s="29">
        <v>11.6</v>
      </c>
      <c r="X24" s="29">
        <f>V24*1.3</f>
        <v>353.08000000000004</v>
      </c>
      <c r="Y24" s="29">
        <f>W24+X24</f>
        <v>364.68000000000006</v>
      </c>
      <c r="Z24" s="46">
        <f>W24+X24-Y24</f>
        <v>0</v>
      </c>
      <c r="AA24" s="27"/>
      <c r="AB24" s="27">
        <v>31.5</v>
      </c>
    </row>
    <row r="25" spans="1:28" x14ac:dyDescent="0.3">
      <c r="A25" s="36">
        <v>13</v>
      </c>
      <c r="B25" s="29">
        <v>1988</v>
      </c>
      <c r="C25" s="29" t="s">
        <v>19</v>
      </c>
      <c r="D25" s="30" t="s">
        <v>21</v>
      </c>
      <c r="E25" s="31">
        <v>48</v>
      </c>
      <c r="F25" s="31" t="s">
        <v>7</v>
      </c>
      <c r="G25" s="49" t="s">
        <v>177</v>
      </c>
      <c r="H25" s="20">
        <v>2</v>
      </c>
      <c r="I25" s="20">
        <v>1</v>
      </c>
      <c r="J25" s="20">
        <v>3</v>
      </c>
      <c r="K25" s="20"/>
      <c r="L25" s="29">
        <v>18</v>
      </c>
      <c r="M25" s="29">
        <v>46</v>
      </c>
      <c r="N25" s="22">
        <f>O25+Q25+S25+U25+V25+W25</f>
        <v>1048.5999999999999</v>
      </c>
      <c r="O25" s="22">
        <v>931.6</v>
      </c>
      <c r="P25" s="50">
        <v>560.4</v>
      </c>
      <c r="Q25" s="213"/>
      <c r="R25" s="210"/>
      <c r="S25" s="210"/>
      <c r="T25" s="210"/>
      <c r="U25" s="210"/>
      <c r="V25" s="29">
        <v>111</v>
      </c>
      <c r="W25" s="29">
        <v>6</v>
      </c>
      <c r="X25" s="29">
        <f>V25*1.3</f>
        <v>144.30000000000001</v>
      </c>
      <c r="Y25" s="29">
        <f>W25+X25</f>
        <v>150.30000000000001</v>
      </c>
      <c r="Z25" s="46">
        <f>W25+X25-Y25</f>
        <v>0</v>
      </c>
      <c r="AA25" s="27"/>
      <c r="AB25" s="27">
        <v>33.6</v>
      </c>
    </row>
    <row r="26" spans="1:28" x14ac:dyDescent="0.3">
      <c r="A26" s="36">
        <v>14</v>
      </c>
      <c r="B26" s="29">
        <v>1993</v>
      </c>
      <c r="C26" s="29" t="s">
        <v>20</v>
      </c>
      <c r="D26" s="30" t="s">
        <v>21</v>
      </c>
      <c r="E26" s="31">
        <v>50</v>
      </c>
      <c r="F26" s="31" t="s">
        <v>159</v>
      </c>
      <c r="G26" s="49" t="s">
        <v>175</v>
      </c>
      <c r="H26" s="20">
        <v>3</v>
      </c>
      <c r="I26" s="20">
        <v>1</v>
      </c>
      <c r="J26" s="20">
        <v>3</v>
      </c>
      <c r="K26" s="20"/>
      <c r="L26" s="29">
        <v>27</v>
      </c>
      <c r="M26" s="29">
        <v>66</v>
      </c>
      <c r="N26" s="22">
        <f>O26+Q26+S26+U26+V26+W26</f>
        <v>1315.8</v>
      </c>
      <c r="O26" s="22">
        <v>1172.4000000000001</v>
      </c>
      <c r="P26" s="50">
        <v>665.1</v>
      </c>
      <c r="Q26" s="213"/>
      <c r="R26" s="210"/>
      <c r="S26" s="210"/>
      <c r="T26" s="210"/>
      <c r="U26" s="210"/>
      <c r="V26" s="29">
        <v>126.3</v>
      </c>
      <c r="W26" s="29">
        <v>17.100000000000001</v>
      </c>
      <c r="X26" s="29">
        <f>V26*1.3</f>
        <v>164.19</v>
      </c>
      <c r="Y26" s="29">
        <f>W26+X26</f>
        <v>181.29</v>
      </c>
      <c r="Z26" s="46">
        <f>W26+X26-Y26</f>
        <v>0</v>
      </c>
      <c r="AA26" s="27"/>
      <c r="AB26" s="27">
        <v>29.55</v>
      </c>
    </row>
    <row r="27" spans="1:28" ht="13.5" thickBot="1" x14ac:dyDescent="0.35">
      <c r="A27" s="36">
        <v>15</v>
      </c>
      <c r="B27" s="29">
        <v>1993</v>
      </c>
      <c r="C27" s="29" t="s">
        <v>22</v>
      </c>
      <c r="D27" s="30" t="s">
        <v>21</v>
      </c>
      <c r="E27" s="31" t="s">
        <v>23</v>
      </c>
      <c r="F27" s="31" t="s">
        <v>7</v>
      </c>
      <c r="G27" s="49" t="s">
        <v>177</v>
      </c>
      <c r="H27" s="20">
        <v>2</v>
      </c>
      <c r="I27" s="20">
        <v>1</v>
      </c>
      <c r="J27" s="20">
        <v>2</v>
      </c>
      <c r="K27" s="20"/>
      <c r="L27" s="29">
        <v>20</v>
      </c>
      <c r="M27" s="29">
        <v>77</v>
      </c>
      <c r="N27" s="22">
        <f>O27+Q27+S27+U27+V27+W27</f>
        <v>1369.7</v>
      </c>
      <c r="O27" s="22">
        <v>1225.2</v>
      </c>
      <c r="P27" s="50">
        <f>743.5-1.4</f>
        <v>742.1</v>
      </c>
      <c r="Q27" s="213"/>
      <c r="R27" s="210"/>
      <c r="S27" s="210"/>
      <c r="T27" s="210"/>
      <c r="U27" s="210"/>
      <c r="V27" s="29">
        <v>57.1</v>
      </c>
      <c r="W27" s="29">
        <v>87.4</v>
      </c>
      <c r="X27" s="29">
        <f>V27*1.3</f>
        <v>74.23</v>
      </c>
      <c r="Y27" s="29">
        <f>W27+X27</f>
        <v>161.63</v>
      </c>
      <c r="Z27" s="46">
        <f>W27+X27-Y27</f>
        <v>0</v>
      </c>
      <c r="AA27" s="40"/>
      <c r="AB27" s="40">
        <v>49.5</v>
      </c>
    </row>
    <row r="28" spans="1:28" ht="13.5" thickBot="1" x14ac:dyDescent="0.35">
      <c r="A28" s="36"/>
      <c r="B28" s="29"/>
      <c r="C28" s="29"/>
      <c r="D28" s="30"/>
      <c r="E28" s="31"/>
      <c r="F28" s="52"/>
      <c r="G28" s="52"/>
      <c r="H28" s="20"/>
      <c r="I28" s="31">
        <f>SUM(I23:I27)</f>
        <v>5</v>
      </c>
      <c r="J28" s="31">
        <f>SUM(J23:J27)</f>
        <v>13</v>
      </c>
      <c r="K28" s="31">
        <f t="shared" ref="K28:AB28" si="5">SUM(K23:K27)</f>
        <v>2</v>
      </c>
      <c r="L28" s="31">
        <f>SUM(L23:L27)</f>
        <v>188</v>
      </c>
      <c r="M28" s="31">
        <f>SUM(M23:M27)</f>
        <v>510</v>
      </c>
      <c r="N28" s="31">
        <f>SUM(N23:N27)</f>
        <v>11198.1</v>
      </c>
      <c r="O28" s="53">
        <f>SUM(O23:O27)</f>
        <v>9610.4000000000015</v>
      </c>
      <c r="P28" s="54">
        <f>SUM(P23:P27)</f>
        <v>5653.4000000000005</v>
      </c>
      <c r="Q28" s="220">
        <f t="shared" si="5"/>
        <v>0</v>
      </c>
      <c r="R28" s="219">
        <f t="shared" si="5"/>
        <v>0</v>
      </c>
      <c r="S28" s="219">
        <f t="shared" si="5"/>
        <v>0</v>
      </c>
      <c r="T28" s="219">
        <f t="shared" si="5"/>
        <v>0</v>
      </c>
      <c r="U28" s="219">
        <f t="shared" si="5"/>
        <v>0</v>
      </c>
      <c r="V28" s="31">
        <f t="shared" si="5"/>
        <v>720.4</v>
      </c>
      <c r="W28" s="31">
        <f t="shared" si="5"/>
        <v>867.30000000000018</v>
      </c>
      <c r="X28" s="31">
        <f t="shared" si="5"/>
        <v>936.52000000000021</v>
      </c>
      <c r="Y28" s="42">
        <f t="shared" si="5"/>
        <v>1803.8200000000002</v>
      </c>
      <c r="Z28" s="42">
        <f t="shared" si="5"/>
        <v>0</v>
      </c>
      <c r="AA28" s="196">
        <f t="shared" si="5"/>
        <v>0</v>
      </c>
      <c r="AB28" s="196">
        <f t="shared" si="5"/>
        <v>144.14999999999998</v>
      </c>
    </row>
    <row r="29" spans="1:28" x14ac:dyDescent="0.3">
      <c r="A29" s="36"/>
      <c r="B29" s="29"/>
      <c r="C29" s="29"/>
      <c r="D29" s="31" t="s">
        <v>132</v>
      </c>
      <c r="E29" s="31"/>
      <c r="F29" s="20"/>
      <c r="G29" s="20"/>
      <c r="H29" s="20"/>
      <c r="I29" s="29"/>
      <c r="J29" s="29"/>
      <c r="K29" s="29"/>
      <c r="L29" s="55"/>
      <c r="M29" s="29"/>
      <c r="N29" s="22"/>
      <c r="O29" s="32"/>
      <c r="P29" s="35"/>
      <c r="Q29" s="213"/>
      <c r="R29" s="210"/>
      <c r="S29" s="210"/>
      <c r="T29" s="210"/>
      <c r="U29" s="210"/>
      <c r="V29" s="29"/>
      <c r="W29" s="29"/>
      <c r="X29" s="29"/>
      <c r="Y29" s="29"/>
      <c r="Z29" s="29"/>
      <c r="AA29" s="27"/>
      <c r="AB29" s="56"/>
    </row>
    <row r="30" spans="1:28" ht="26" x14ac:dyDescent="0.3">
      <c r="A30" s="36">
        <v>16</v>
      </c>
      <c r="B30" s="29">
        <v>1991</v>
      </c>
      <c r="C30" s="29" t="s">
        <v>145</v>
      </c>
      <c r="D30" s="30" t="s">
        <v>185</v>
      </c>
      <c r="E30" s="31">
        <v>125</v>
      </c>
      <c r="F30" s="31" t="s">
        <v>7</v>
      </c>
      <c r="G30" s="31">
        <v>11</v>
      </c>
      <c r="H30" s="20">
        <v>3</v>
      </c>
      <c r="I30" s="29">
        <v>1</v>
      </c>
      <c r="J30" s="29">
        <v>3</v>
      </c>
      <c r="K30" s="29"/>
      <c r="L30" s="57">
        <v>36</v>
      </c>
      <c r="M30" s="29">
        <v>99</v>
      </c>
      <c r="N30" s="32">
        <f>O30+Q30+S30+U30+V30+W30</f>
        <v>1827.8000000000002</v>
      </c>
      <c r="O30" s="32">
        <f>1521.7-1.3</f>
        <v>1520.4</v>
      </c>
      <c r="P30" s="35">
        <f>767.7-0.8</f>
        <v>766.90000000000009</v>
      </c>
      <c r="Q30" s="213"/>
      <c r="R30" s="210"/>
      <c r="S30" s="210"/>
      <c r="T30" s="210"/>
      <c r="U30" s="210"/>
      <c r="V30" s="29">
        <v>301.7</v>
      </c>
      <c r="W30" s="29">
        <v>5.7</v>
      </c>
      <c r="X30" s="29">
        <f>V30*1.3</f>
        <v>392.21</v>
      </c>
      <c r="Y30" s="29">
        <f>W30+X30</f>
        <v>397.90999999999997</v>
      </c>
      <c r="Z30" s="46">
        <f>W30+X30-Y30</f>
        <v>0</v>
      </c>
      <c r="AA30" s="27"/>
      <c r="AB30" s="56"/>
    </row>
    <row r="31" spans="1:28" x14ac:dyDescent="0.3">
      <c r="A31" s="36">
        <v>17</v>
      </c>
      <c r="B31" s="29">
        <v>1990</v>
      </c>
      <c r="C31" s="29" t="s">
        <v>64</v>
      </c>
      <c r="D31" s="30" t="s">
        <v>185</v>
      </c>
      <c r="E31" s="31">
        <v>127</v>
      </c>
      <c r="F31" s="31" t="s">
        <v>7</v>
      </c>
      <c r="G31" s="31">
        <v>11</v>
      </c>
      <c r="H31" s="20">
        <v>3</v>
      </c>
      <c r="I31" s="29">
        <v>1</v>
      </c>
      <c r="J31" s="29">
        <v>3</v>
      </c>
      <c r="K31" s="29"/>
      <c r="L31" s="57">
        <v>35</v>
      </c>
      <c r="M31" s="29">
        <v>84</v>
      </c>
      <c r="N31" s="32">
        <f>O31+Q31+S31+U31+V31+W31</f>
        <v>1701.7</v>
      </c>
      <c r="O31" s="32">
        <v>1449.7</v>
      </c>
      <c r="P31" s="35">
        <v>725.5</v>
      </c>
      <c r="Q31" s="213"/>
      <c r="R31" s="210"/>
      <c r="S31" s="210"/>
      <c r="T31" s="210"/>
      <c r="U31" s="210"/>
      <c r="V31" s="29">
        <v>117.5</v>
      </c>
      <c r="W31" s="29">
        <v>134.5</v>
      </c>
      <c r="X31" s="29">
        <f>V31*1.3</f>
        <v>152.75</v>
      </c>
      <c r="Y31" s="29">
        <f>W31+X31</f>
        <v>287.25</v>
      </c>
      <c r="Z31" s="46">
        <f>W31+X31-Y31</f>
        <v>0</v>
      </c>
      <c r="AA31" s="27"/>
      <c r="AB31" s="56"/>
    </row>
    <row r="32" spans="1:28" s="58" customFormat="1" x14ac:dyDescent="0.3">
      <c r="A32" s="36">
        <v>18</v>
      </c>
      <c r="B32" s="29">
        <v>1992</v>
      </c>
      <c r="C32" s="29" t="s">
        <v>15</v>
      </c>
      <c r="D32" s="30" t="s">
        <v>185</v>
      </c>
      <c r="E32" s="31">
        <v>129</v>
      </c>
      <c r="F32" s="31" t="s">
        <v>7</v>
      </c>
      <c r="G32" s="31">
        <v>11</v>
      </c>
      <c r="H32" s="20">
        <v>3</v>
      </c>
      <c r="I32" s="29">
        <v>1</v>
      </c>
      <c r="J32" s="29">
        <v>3</v>
      </c>
      <c r="K32" s="29"/>
      <c r="L32" s="57">
        <v>36</v>
      </c>
      <c r="M32" s="29">
        <v>103</v>
      </c>
      <c r="N32" s="32">
        <f>O32+Q32+S32+U32+V32+W32</f>
        <v>1774.1</v>
      </c>
      <c r="O32" s="32">
        <v>1502.7</v>
      </c>
      <c r="P32" s="35">
        <f>760.7+0.5</f>
        <v>761.2</v>
      </c>
      <c r="Q32" s="213"/>
      <c r="R32" s="210"/>
      <c r="S32" s="210"/>
      <c r="T32" s="210"/>
      <c r="U32" s="210"/>
      <c r="V32" s="29">
        <v>119.8</v>
      </c>
      <c r="W32" s="29">
        <v>151.6</v>
      </c>
      <c r="X32" s="29">
        <f>V32*1.3</f>
        <v>155.74</v>
      </c>
      <c r="Y32" s="29">
        <f>W32+X32</f>
        <v>307.34000000000003</v>
      </c>
      <c r="Z32" s="46">
        <f>W32+X32-Y32</f>
        <v>0</v>
      </c>
      <c r="AA32" s="27"/>
      <c r="AB32" s="56"/>
    </row>
    <row r="33" spans="1:28" ht="13.5" thickBot="1" x14ac:dyDescent="0.35">
      <c r="A33" s="36">
        <v>19</v>
      </c>
      <c r="B33" s="29">
        <v>1988</v>
      </c>
      <c r="C33" s="29" t="s">
        <v>82</v>
      </c>
      <c r="D33" s="30" t="s">
        <v>185</v>
      </c>
      <c r="E33" s="31">
        <v>133</v>
      </c>
      <c r="F33" s="31" t="s">
        <v>7</v>
      </c>
      <c r="G33" s="31">
        <v>11</v>
      </c>
      <c r="H33" s="20">
        <v>3</v>
      </c>
      <c r="I33" s="29">
        <v>1</v>
      </c>
      <c r="J33" s="29">
        <v>3</v>
      </c>
      <c r="K33" s="29"/>
      <c r="L33" s="57">
        <v>27</v>
      </c>
      <c r="M33" s="29">
        <v>72</v>
      </c>
      <c r="N33" s="32">
        <f>O33+Q33+S33+U33+V33+W33</f>
        <v>1736.1</v>
      </c>
      <c r="O33" s="32">
        <v>1485.8</v>
      </c>
      <c r="P33" s="35">
        <f>882.1+3.7-0.6+0.4-0.1-0.3-1.4</f>
        <v>883.80000000000007</v>
      </c>
      <c r="Q33" s="213"/>
      <c r="R33" s="210"/>
      <c r="S33" s="210"/>
      <c r="T33" s="210"/>
      <c r="U33" s="210"/>
      <c r="V33" s="29">
        <v>116.8</v>
      </c>
      <c r="W33" s="29">
        <v>133.5</v>
      </c>
      <c r="X33" s="29">
        <f>V33*1.3</f>
        <v>151.84</v>
      </c>
      <c r="Y33" s="29">
        <f>W33+X33</f>
        <v>285.34000000000003</v>
      </c>
      <c r="Z33" s="46">
        <f>W33+X33-Y33</f>
        <v>0</v>
      </c>
      <c r="AA33" s="59"/>
      <c r="AB33" s="60"/>
    </row>
    <row r="34" spans="1:28" ht="13.5" thickBot="1" x14ac:dyDescent="0.35">
      <c r="A34" s="36">
        <v>20</v>
      </c>
      <c r="B34" s="29">
        <v>1988</v>
      </c>
      <c r="C34" s="29" t="s">
        <v>82</v>
      </c>
      <c r="D34" s="30" t="s">
        <v>185</v>
      </c>
      <c r="E34" s="31">
        <v>131</v>
      </c>
      <c r="F34" s="31" t="s">
        <v>7</v>
      </c>
      <c r="G34" s="31">
        <v>11</v>
      </c>
      <c r="H34" s="20">
        <v>3</v>
      </c>
      <c r="I34" s="29">
        <v>1</v>
      </c>
      <c r="J34" s="29">
        <v>3</v>
      </c>
      <c r="K34" s="29"/>
      <c r="L34" s="57">
        <v>36</v>
      </c>
      <c r="M34" s="29">
        <v>94</v>
      </c>
      <c r="N34" s="32">
        <f>O34+Q34+S34+U34+V34+W34</f>
        <v>1681.1</v>
      </c>
      <c r="O34" s="32">
        <v>1399.8</v>
      </c>
      <c r="P34" s="35">
        <v>713.1</v>
      </c>
      <c r="Q34" s="213"/>
      <c r="R34" s="210"/>
      <c r="S34" s="210"/>
      <c r="T34" s="210"/>
      <c r="U34" s="210"/>
      <c r="V34" s="29">
        <v>266.3</v>
      </c>
      <c r="W34" s="29">
        <v>15</v>
      </c>
      <c r="X34" s="29">
        <f>V34*1.3</f>
        <v>346.19000000000005</v>
      </c>
      <c r="Y34" s="29">
        <f>W34+X34</f>
        <v>361.19000000000005</v>
      </c>
      <c r="Z34" s="46">
        <f>W34+X34-Y34</f>
        <v>0</v>
      </c>
      <c r="AA34" s="59"/>
      <c r="AB34" s="60"/>
    </row>
    <row r="35" spans="1:28" x14ac:dyDescent="0.3">
      <c r="A35" s="36"/>
      <c r="B35" s="29"/>
      <c r="C35" s="29"/>
      <c r="D35" s="20"/>
      <c r="E35" s="31"/>
      <c r="F35" s="31"/>
      <c r="G35" s="20"/>
      <c r="H35" s="20"/>
      <c r="I35" s="61">
        <f>SUM(I30:I34)</f>
        <v>5</v>
      </c>
      <c r="J35" s="61">
        <f t="shared" ref="J35:AB35" si="6">SUM(J30:J34)</f>
        <v>15</v>
      </c>
      <c r="K35" s="61">
        <f t="shared" si="6"/>
        <v>0</v>
      </c>
      <c r="L35" s="61">
        <f t="shared" si="6"/>
        <v>170</v>
      </c>
      <c r="M35" s="61">
        <f t="shared" si="6"/>
        <v>452</v>
      </c>
      <c r="N35" s="61">
        <f t="shared" si="6"/>
        <v>8720.8000000000011</v>
      </c>
      <c r="O35" s="61">
        <f t="shared" si="6"/>
        <v>7358.4000000000005</v>
      </c>
      <c r="P35" s="61">
        <f t="shared" si="6"/>
        <v>3850.5000000000005</v>
      </c>
      <c r="Q35" s="221">
        <f t="shared" si="6"/>
        <v>0</v>
      </c>
      <c r="R35" s="221">
        <f t="shared" si="6"/>
        <v>0</v>
      </c>
      <c r="S35" s="221">
        <f t="shared" si="6"/>
        <v>0</v>
      </c>
      <c r="T35" s="221">
        <f t="shared" si="6"/>
        <v>0</v>
      </c>
      <c r="U35" s="221">
        <f t="shared" si="6"/>
        <v>0</v>
      </c>
      <c r="V35" s="61">
        <f t="shared" si="6"/>
        <v>922.09999999999991</v>
      </c>
      <c r="W35" s="61">
        <f t="shared" si="6"/>
        <v>440.29999999999995</v>
      </c>
      <c r="X35" s="61">
        <f t="shared" si="6"/>
        <v>1198.73</v>
      </c>
      <c r="Y35" s="61">
        <f t="shared" si="6"/>
        <v>1639.0300000000002</v>
      </c>
      <c r="Z35" s="61">
        <f t="shared" si="6"/>
        <v>0</v>
      </c>
      <c r="AA35" s="61">
        <f t="shared" si="6"/>
        <v>0</v>
      </c>
      <c r="AB35" s="61">
        <f t="shared" si="6"/>
        <v>0</v>
      </c>
    </row>
    <row r="36" spans="1:28" x14ac:dyDescent="0.3">
      <c r="A36" s="36"/>
      <c r="B36" s="29"/>
      <c r="C36" s="29"/>
      <c r="D36" s="31" t="s">
        <v>133</v>
      </c>
      <c r="E36" s="31"/>
      <c r="F36" s="31"/>
      <c r="G36" s="20"/>
      <c r="H36" s="20"/>
      <c r="I36" s="29"/>
      <c r="J36" s="29"/>
      <c r="K36" s="29"/>
      <c r="L36" s="57"/>
      <c r="M36" s="29"/>
      <c r="N36" s="22"/>
      <c r="O36" s="32"/>
      <c r="P36" s="35"/>
      <c r="Q36" s="213"/>
      <c r="R36" s="210"/>
      <c r="S36" s="210"/>
      <c r="T36" s="210"/>
      <c r="U36" s="210"/>
      <c r="V36" s="29"/>
      <c r="W36" s="29"/>
      <c r="X36" s="29"/>
      <c r="Y36" s="29"/>
      <c r="Z36" s="29"/>
      <c r="AA36" s="47"/>
      <c r="AB36" s="64"/>
    </row>
    <row r="37" spans="1:28" ht="25.5" customHeight="1" x14ac:dyDescent="0.3">
      <c r="A37" s="36">
        <v>21</v>
      </c>
      <c r="B37" s="29">
        <v>1990</v>
      </c>
      <c r="C37" s="29" t="s">
        <v>134</v>
      </c>
      <c r="D37" s="30" t="s">
        <v>173</v>
      </c>
      <c r="E37" s="31">
        <v>66</v>
      </c>
      <c r="F37" s="31" t="s">
        <v>7</v>
      </c>
      <c r="G37" s="31" t="s">
        <v>186</v>
      </c>
      <c r="H37" s="20">
        <v>3</v>
      </c>
      <c r="I37" s="29">
        <v>1</v>
      </c>
      <c r="J37" s="29">
        <v>3</v>
      </c>
      <c r="K37" s="29"/>
      <c r="L37" s="57">
        <v>21</v>
      </c>
      <c r="M37" s="29">
        <v>58</v>
      </c>
      <c r="N37" s="32">
        <f t="shared" ref="N37:N46" si="7">O37+Q37+S37+U37+V37+W37</f>
        <v>1486.8999999999999</v>
      </c>
      <c r="O37" s="32">
        <v>1049.0999999999999</v>
      </c>
      <c r="P37" s="35">
        <v>613.1</v>
      </c>
      <c r="Q37" s="213"/>
      <c r="R37" s="210"/>
      <c r="S37" s="210">
        <f>149.2+160.5</f>
        <v>309.7</v>
      </c>
      <c r="T37" s="210"/>
      <c r="U37" s="210"/>
      <c r="V37" s="29">
        <v>128.1</v>
      </c>
      <c r="W37" s="29"/>
      <c r="X37" s="29">
        <f t="shared" ref="X37:X46" si="8">V37*1.3</f>
        <v>166.53</v>
      </c>
      <c r="Y37" s="29">
        <f>W37+X37</f>
        <v>166.53</v>
      </c>
      <c r="Z37" s="46">
        <f t="shared" ref="Z37:Z42" si="9">W37+X37-Y37</f>
        <v>0</v>
      </c>
      <c r="AA37" s="27">
        <v>66.2</v>
      </c>
      <c r="AB37" s="56"/>
    </row>
    <row r="38" spans="1:28" x14ac:dyDescent="0.3">
      <c r="A38" s="36">
        <v>22</v>
      </c>
      <c r="B38" s="29">
        <v>1988</v>
      </c>
      <c r="C38" s="29" t="s">
        <v>134</v>
      </c>
      <c r="D38" s="30" t="s">
        <v>187</v>
      </c>
      <c r="E38" s="31">
        <v>8</v>
      </c>
      <c r="F38" s="31" t="s">
        <v>7</v>
      </c>
      <c r="G38" s="31" t="s">
        <v>176</v>
      </c>
      <c r="H38" s="20">
        <v>5</v>
      </c>
      <c r="I38" s="29">
        <v>1</v>
      </c>
      <c r="J38" s="29">
        <v>4</v>
      </c>
      <c r="K38" s="29"/>
      <c r="L38" s="57">
        <v>57</v>
      </c>
      <c r="M38" s="29">
        <v>128</v>
      </c>
      <c r="N38" s="32">
        <f>O38+Q38+S38+U38+V38+W38</f>
        <v>3319.7000000000003</v>
      </c>
      <c r="O38" s="32">
        <v>2773.5</v>
      </c>
      <c r="P38" s="35">
        <f>1635.4-29.1-0.1</f>
        <v>1606.2000000000003</v>
      </c>
      <c r="Q38" s="213">
        <v>52.3</v>
      </c>
      <c r="R38" s="210"/>
      <c r="S38" s="210"/>
      <c r="T38" s="210"/>
      <c r="U38" s="210">
        <v>170.3</v>
      </c>
      <c r="V38" s="29">
        <v>279.5</v>
      </c>
      <c r="W38" s="29">
        <v>44.1</v>
      </c>
      <c r="X38" s="29">
        <f t="shared" si="8"/>
        <v>363.35</v>
      </c>
      <c r="Y38" s="29">
        <f>X38/H38*3+W38</f>
        <v>262.11</v>
      </c>
      <c r="Z38" s="25">
        <f t="shared" si="9"/>
        <v>145.34000000000003</v>
      </c>
      <c r="AA38" s="27">
        <v>187.2</v>
      </c>
      <c r="AB38" s="56"/>
    </row>
    <row r="39" spans="1:28" x14ac:dyDescent="0.3">
      <c r="A39" s="36">
        <v>23</v>
      </c>
      <c r="B39" s="29">
        <v>1992</v>
      </c>
      <c r="C39" s="29" t="s">
        <v>15</v>
      </c>
      <c r="D39" s="30" t="s">
        <v>187</v>
      </c>
      <c r="E39" s="31">
        <v>12</v>
      </c>
      <c r="F39" s="31" t="s">
        <v>7</v>
      </c>
      <c r="G39" s="31" t="s">
        <v>176</v>
      </c>
      <c r="H39" s="20">
        <v>5</v>
      </c>
      <c r="I39" s="29">
        <v>1</v>
      </c>
      <c r="J39" s="29">
        <v>3</v>
      </c>
      <c r="K39" s="29"/>
      <c r="L39" s="57">
        <v>53</v>
      </c>
      <c r="M39" s="29">
        <v>125</v>
      </c>
      <c r="N39" s="32">
        <f t="shared" si="7"/>
        <v>2461.3000000000002</v>
      </c>
      <c r="O39" s="32">
        <v>2160</v>
      </c>
      <c r="P39" s="35">
        <f>1154.2-0.1</f>
        <v>1154.1000000000001</v>
      </c>
      <c r="Q39" s="213"/>
      <c r="R39" s="210"/>
      <c r="S39" s="210"/>
      <c r="T39" s="210"/>
      <c r="U39" s="210"/>
      <c r="V39" s="29">
        <v>210.8</v>
      </c>
      <c r="W39" s="29">
        <v>90.5</v>
      </c>
      <c r="X39" s="29">
        <f t="shared" si="8"/>
        <v>274.04000000000002</v>
      </c>
      <c r="Y39" s="46">
        <f>X39/H39*3+W39</f>
        <v>254.92400000000004</v>
      </c>
      <c r="Z39" s="46">
        <f t="shared" si="9"/>
        <v>109.61599999999999</v>
      </c>
      <c r="AA39" s="27">
        <v>171.6</v>
      </c>
      <c r="AB39" s="56"/>
    </row>
    <row r="40" spans="1:28" ht="12.75" customHeight="1" x14ac:dyDescent="0.3">
      <c r="A40" s="36">
        <v>24</v>
      </c>
      <c r="B40" s="29">
        <v>1981</v>
      </c>
      <c r="C40" s="29" t="s">
        <v>134</v>
      </c>
      <c r="D40" s="30" t="s">
        <v>187</v>
      </c>
      <c r="E40" s="31">
        <v>16</v>
      </c>
      <c r="F40" s="31" t="s">
        <v>7</v>
      </c>
      <c r="G40" s="31" t="s">
        <v>186</v>
      </c>
      <c r="H40" s="20">
        <v>3</v>
      </c>
      <c r="I40" s="29">
        <v>1</v>
      </c>
      <c r="J40" s="29">
        <v>3</v>
      </c>
      <c r="K40" s="29"/>
      <c r="L40" s="57">
        <v>33</v>
      </c>
      <c r="M40" s="29">
        <v>93</v>
      </c>
      <c r="N40" s="32">
        <f t="shared" si="7"/>
        <v>1480.7000000000003</v>
      </c>
      <c r="O40" s="32">
        <v>1326.9</v>
      </c>
      <c r="P40" s="35">
        <f>701.5-0.1+0</f>
        <v>701.4</v>
      </c>
      <c r="Q40" s="213"/>
      <c r="R40" s="210"/>
      <c r="S40" s="210"/>
      <c r="T40" s="210"/>
      <c r="U40" s="210"/>
      <c r="V40" s="29">
        <v>116.4</v>
      </c>
      <c r="W40" s="29">
        <v>37.4</v>
      </c>
      <c r="X40" s="29">
        <f t="shared" si="8"/>
        <v>151.32000000000002</v>
      </c>
      <c r="Y40" s="29">
        <f>W40+X40</f>
        <v>188.72000000000003</v>
      </c>
      <c r="Z40" s="46">
        <f t="shared" si="9"/>
        <v>0</v>
      </c>
      <c r="AA40" s="27">
        <v>121.5</v>
      </c>
      <c r="AB40" s="56"/>
    </row>
    <row r="41" spans="1:28" x14ac:dyDescent="0.3">
      <c r="A41" s="36">
        <v>25</v>
      </c>
      <c r="B41" s="29">
        <v>1982</v>
      </c>
      <c r="C41" s="29" t="s">
        <v>134</v>
      </c>
      <c r="D41" s="30" t="s">
        <v>187</v>
      </c>
      <c r="E41" s="31">
        <v>18</v>
      </c>
      <c r="F41" s="31" t="s">
        <v>7</v>
      </c>
      <c r="G41" s="31" t="s">
        <v>176</v>
      </c>
      <c r="H41" s="20">
        <v>5</v>
      </c>
      <c r="I41" s="29">
        <v>1</v>
      </c>
      <c r="J41" s="29">
        <v>3</v>
      </c>
      <c r="K41" s="29"/>
      <c r="L41" s="57">
        <v>45</v>
      </c>
      <c r="M41" s="29">
        <v>117</v>
      </c>
      <c r="N41" s="32">
        <f t="shared" si="7"/>
        <v>2461.8000000000002</v>
      </c>
      <c r="O41" s="32">
        <v>2218.5</v>
      </c>
      <c r="P41" s="35">
        <f>1278.4+0.2-2</f>
        <v>1276.6000000000001</v>
      </c>
      <c r="Q41" s="213"/>
      <c r="R41" s="210"/>
      <c r="S41" s="210"/>
      <c r="T41" s="210"/>
      <c r="U41" s="210"/>
      <c r="V41" s="29">
        <v>209.8</v>
      </c>
      <c r="W41" s="29">
        <v>33.5</v>
      </c>
      <c r="X41" s="29">
        <f t="shared" si="8"/>
        <v>272.74</v>
      </c>
      <c r="Y41" s="46">
        <f>X41/H41*3+W41</f>
        <v>197.14400000000001</v>
      </c>
      <c r="Z41" s="46">
        <f t="shared" si="9"/>
        <v>109.096</v>
      </c>
      <c r="AA41" s="27">
        <v>175</v>
      </c>
      <c r="AB41" s="56"/>
    </row>
    <row r="42" spans="1:28" x14ac:dyDescent="0.3">
      <c r="A42" s="36">
        <v>26</v>
      </c>
      <c r="B42" s="29">
        <v>1982</v>
      </c>
      <c r="C42" s="29" t="s">
        <v>134</v>
      </c>
      <c r="D42" s="30" t="s">
        <v>185</v>
      </c>
      <c r="E42" s="31">
        <v>50</v>
      </c>
      <c r="F42" s="31" t="s">
        <v>7</v>
      </c>
      <c r="G42" s="31" t="s">
        <v>176</v>
      </c>
      <c r="H42" s="20">
        <v>5</v>
      </c>
      <c r="I42" s="29">
        <v>1</v>
      </c>
      <c r="J42" s="29">
        <v>4</v>
      </c>
      <c r="K42" s="29"/>
      <c r="L42" s="57">
        <v>59</v>
      </c>
      <c r="M42" s="29">
        <v>155</v>
      </c>
      <c r="N42" s="32">
        <f t="shared" si="7"/>
        <v>3185.1</v>
      </c>
      <c r="O42" s="32">
        <v>2916.2</v>
      </c>
      <c r="P42" s="35">
        <f>1709-0.4-0.2-0.2-0.4+0-28.9</f>
        <v>1678.8999999999996</v>
      </c>
      <c r="Q42" s="213"/>
      <c r="R42" s="210"/>
      <c r="S42" s="210"/>
      <c r="T42" s="210"/>
      <c r="U42" s="210"/>
      <c r="V42" s="29">
        <v>224.3</v>
      </c>
      <c r="W42" s="29">
        <v>44.6</v>
      </c>
      <c r="X42" s="29">
        <f t="shared" si="8"/>
        <v>291.59000000000003</v>
      </c>
      <c r="Y42" s="46">
        <f>X42/H42*3+W42</f>
        <v>219.554</v>
      </c>
      <c r="Z42" s="46">
        <f t="shared" si="9"/>
        <v>116.63600000000005</v>
      </c>
      <c r="AA42" s="27">
        <v>176.6</v>
      </c>
      <c r="AB42" s="56"/>
    </row>
    <row r="43" spans="1:28" ht="13.5" customHeight="1" x14ac:dyDescent="0.3">
      <c r="A43" s="36">
        <v>27</v>
      </c>
      <c r="B43" s="29">
        <v>1984</v>
      </c>
      <c r="C43" s="29" t="s">
        <v>15</v>
      </c>
      <c r="D43" s="30" t="s">
        <v>173</v>
      </c>
      <c r="E43" s="31">
        <v>64</v>
      </c>
      <c r="F43" s="31" t="s">
        <v>7</v>
      </c>
      <c r="G43" s="31" t="s">
        <v>195</v>
      </c>
      <c r="H43" s="20">
        <v>2</v>
      </c>
      <c r="I43" s="29">
        <v>1</v>
      </c>
      <c r="J43" s="29">
        <v>4</v>
      </c>
      <c r="K43" s="29"/>
      <c r="L43" s="57">
        <v>16</v>
      </c>
      <c r="M43" s="29">
        <v>58</v>
      </c>
      <c r="N43" s="32">
        <f t="shared" si="7"/>
        <v>1324.3000000000002</v>
      </c>
      <c r="O43" s="32">
        <v>1211.4000000000001</v>
      </c>
      <c r="P43" s="35">
        <v>833.1</v>
      </c>
      <c r="Q43" s="213"/>
      <c r="R43" s="210"/>
      <c r="S43" s="210"/>
      <c r="T43" s="210"/>
      <c r="U43" s="210"/>
      <c r="V43" s="29">
        <v>112.9</v>
      </c>
      <c r="W43" s="29"/>
      <c r="X43" s="29">
        <f t="shared" si="8"/>
        <v>146.77000000000001</v>
      </c>
      <c r="Y43" s="29"/>
      <c r="Z43" s="29">
        <f>W43+X43-Y43</f>
        <v>146.77000000000001</v>
      </c>
      <c r="AA43" s="27"/>
      <c r="AB43" s="56"/>
    </row>
    <row r="44" spans="1:28" ht="16.5" customHeight="1" x14ac:dyDescent="0.3">
      <c r="A44" s="36">
        <v>28</v>
      </c>
      <c r="B44" s="29">
        <v>1983</v>
      </c>
      <c r="C44" s="29" t="s">
        <v>134</v>
      </c>
      <c r="D44" s="30" t="s">
        <v>210</v>
      </c>
      <c r="E44" s="31">
        <v>47</v>
      </c>
      <c r="F44" s="31" t="s">
        <v>7</v>
      </c>
      <c r="G44" s="31" t="s">
        <v>195</v>
      </c>
      <c r="H44" s="20">
        <v>2</v>
      </c>
      <c r="I44" s="29">
        <v>1</v>
      </c>
      <c r="J44" s="29">
        <v>3</v>
      </c>
      <c r="K44" s="29"/>
      <c r="L44" s="57">
        <v>18</v>
      </c>
      <c r="M44" s="29">
        <v>40</v>
      </c>
      <c r="N44" s="32">
        <f t="shared" si="7"/>
        <v>986.09999999999991</v>
      </c>
      <c r="O44" s="32">
        <v>902.8</v>
      </c>
      <c r="P44" s="35">
        <f>520.3-29</f>
        <v>491.29999999999995</v>
      </c>
      <c r="Q44" s="213"/>
      <c r="R44" s="210"/>
      <c r="S44" s="210"/>
      <c r="T44" s="210"/>
      <c r="U44" s="210"/>
      <c r="V44" s="29">
        <v>72.3</v>
      </c>
      <c r="W44" s="29">
        <v>11</v>
      </c>
      <c r="X44" s="29">
        <f t="shared" si="8"/>
        <v>93.99</v>
      </c>
      <c r="Y44" s="29">
        <f>W44+X44</f>
        <v>104.99</v>
      </c>
      <c r="Z44" s="46">
        <f>W44+X44-Y44</f>
        <v>0</v>
      </c>
      <c r="AA44" s="27"/>
      <c r="AB44" s="56"/>
    </row>
    <row r="45" spans="1:28" ht="13.5" customHeight="1" x14ac:dyDescent="0.3">
      <c r="A45" s="36">
        <v>29</v>
      </c>
      <c r="B45" s="29">
        <v>1981</v>
      </c>
      <c r="C45" s="29" t="s">
        <v>134</v>
      </c>
      <c r="D45" s="30" t="s">
        <v>173</v>
      </c>
      <c r="E45" s="31">
        <v>62</v>
      </c>
      <c r="F45" s="31" t="s">
        <v>7</v>
      </c>
      <c r="G45" s="31" t="s">
        <v>195</v>
      </c>
      <c r="H45" s="20">
        <v>2</v>
      </c>
      <c r="I45" s="29">
        <v>1</v>
      </c>
      <c r="J45" s="29">
        <v>2</v>
      </c>
      <c r="K45" s="29"/>
      <c r="L45" s="57">
        <v>12</v>
      </c>
      <c r="M45" s="29">
        <v>36</v>
      </c>
      <c r="N45" s="32">
        <f t="shared" si="7"/>
        <v>653.70000000000005</v>
      </c>
      <c r="O45" s="32">
        <v>599.9</v>
      </c>
      <c r="P45" s="35">
        <v>344.5</v>
      </c>
      <c r="Q45" s="213"/>
      <c r="R45" s="210"/>
      <c r="S45" s="210"/>
      <c r="T45" s="210"/>
      <c r="U45" s="210"/>
      <c r="V45" s="29">
        <v>47.6</v>
      </c>
      <c r="W45" s="29">
        <v>6.2</v>
      </c>
      <c r="X45" s="29">
        <f t="shared" si="8"/>
        <v>61.88</v>
      </c>
      <c r="Y45" s="29">
        <f>W45+X45</f>
        <v>68.08</v>
      </c>
      <c r="Z45" s="46">
        <f>W45+X45-Y45</f>
        <v>0</v>
      </c>
      <c r="AA45" s="27"/>
      <c r="AB45" s="56"/>
    </row>
    <row r="46" spans="1:28" ht="13.5" thickBot="1" x14ac:dyDescent="0.35">
      <c r="A46" s="36">
        <v>30</v>
      </c>
      <c r="B46" s="29">
        <v>1992</v>
      </c>
      <c r="C46" s="29" t="s">
        <v>134</v>
      </c>
      <c r="D46" s="30" t="s">
        <v>21</v>
      </c>
      <c r="E46" s="31">
        <v>41</v>
      </c>
      <c r="F46" s="31" t="s">
        <v>7</v>
      </c>
      <c r="G46" s="31" t="s">
        <v>196</v>
      </c>
      <c r="H46" s="20">
        <v>5</v>
      </c>
      <c r="I46" s="29">
        <v>1</v>
      </c>
      <c r="J46" s="29">
        <v>4</v>
      </c>
      <c r="K46" s="29"/>
      <c r="L46" s="57">
        <v>60</v>
      </c>
      <c r="M46" s="29">
        <v>174</v>
      </c>
      <c r="N46" s="32">
        <f t="shared" si="7"/>
        <v>3295.7</v>
      </c>
      <c r="O46" s="32">
        <v>2970.7</v>
      </c>
      <c r="P46" s="35">
        <f>1712.1-42.6-0.3</f>
        <v>1669.2</v>
      </c>
      <c r="Q46" s="213"/>
      <c r="R46" s="210"/>
      <c r="S46" s="210"/>
      <c r="T46" s="210"/>
      <c r="U46" s="210"/>
      <c r="V46" s="29">
        <v>280.89999999999998</v>
      </c>
      <c r="W46" s="29">
        <v>44.1</v>
      </c>
      <c r="X46" s="29">
        <f t="shared" si="8"/>
        <v>365.16999999999996</v>
      </c>
      <c r="Y46" s="46">
        <f>X46/H46*3+W46</f>
        <v>263.202</v>
      </c>
      <c r="Z46" s="46">
        <f>W46+X46-Y46</f>
        <v>146.06799999999998</v>
      </c>
      <c r="AA46" s="59">
        <v>201.6</v>
      </c>
      <c r="AB46" s="60"/>
    </row>
    <row r="47" spans="1:28" ht="13.5" thickBot="1" x14ac:dyDescent="0.35">
      <c r="A47" s="36"/>
      <c r="B47" s="29"/>
      <c r="C47" s="29"/>
      <c r="D47" s="20"/>
      <c r="E47" s="31"/>
      <c r="F47" s="31"/>
      <c r="G47" s="20"/>
      <c r="H47" s="20"/>
      <c r="I47" s="61">
        <f>SUM(I37:I46)</f>
        <v>10</v>
      </c>
      <c r="J47" s="61">
        <f>SUM(J37:J46)</f>
        <v>33</v>
      </c>
      <c r="K47" s="61">
        <f t="shared" ref="K47:AB47" si="10">SUM(K37:K46)</f>
        <v>0</v>
      </c>
      <c r="L47" s="61">
        <f>SUM(L37:L46)</f>
        <v>374</v>
      </c>
      <c r="M47" s="61">
        <f>SUM(M37:M46)</f>
        <v>984</v>
      </c>
      <c r="N47" s="62">
        <f>SUM(N37:N46)</f>
        <v>20655.300000000003</v>
      </c>
      <c r="O47" s="62">
        <f>SUM(O37:O46)</f>
        <v>18129</v>
      </c>
      <c r="P47" s="63">
        <f>SUM(P37:P46)</f>
        <v>10368.400000000001</v>
      </c>
      <c r="Q47" s="222">
        <f t="shared" si="10"/>
        <v>52.3</v>
      </c>
      <c r="R47" s="221">
        <f t="shared" si="10"/>
        <v>0</v>
      </c>
      <c r="S47" s="221">
        <f t="shared" si="10"/>
        <v>309.7</v>
      </c>
      <c r="T47" s="221">
        <f t="shared" si="10"/>
        <v>0</v>
      </c>
      <c r="U47" s="221">
        <f t="shared" si="10"/>
        <v>170.3</v>
      </c>
      <c r="V47" s="65">
        <f t="shared" si="10"/>
        <v>1682.6</v>
      </c>
      <c r="W47" s="61">
        <f t="shared" si="10"/>
        <v>311.40000000000003</v>
      </c>
      <c r="X47" s="61">
        <f t="shared" si="10"/>
        <v>2187.38</v>
      </c>
      <c r="Y47" s="61">
        <f t="shared" si="10"/>
        <v>1725.2540000000001</v>
      </c>
      <c r="Z47" s="66">
        <f t="shared" si="10"/>
        <v>773.52600000000007</v>
      </c>
      <c r="AA47" s="67">
        <f t="shared" si="10"/>
        <v>1099.7</v>
      </c>
      <c r="AB47" s="68">
        <f t="shared" si="10"/>
        <v>0</v>
      </c>
    </row>
    <row r="48" spans="1:28" x14ac:dyDescent="0.3">
      <c r="A48" s="36"/>
      <c r="B48" s="29"/>
      <c r="C48" s="29"/>
      <c r="D48" s="31" t="s">
        <v>135</v>
      </c>
      <c r="E48" s="31"/>
      <c r="F48" s="31"/>
      <c r="G48" s="20"/>
      <c r="H48" s="20"/>
      <c r="I48" s="29"/>
      <c r="J48" s="29"/>
      <c r="K48" s="29"/>
      <c r="L48" s="55"/>
      <c r="M48" s="29"/>
      <c r="N48" s="22"/>
      <c r="O48" s="32"/>
      <c r="P48" s="35"/>
      <c r="Q48" s="213"/>
      <c r="R48" s="210"/>
      <c r="S48" s="210"/>
      <c r="T48" s="210"/>
      <c r="U48" s="210"/>
      <c r="V48" s="29"/>
      <c r="W48" s="29"/>
      <c r="X48" s="29"/>
      <c r="Y48" s="29"/>
      <c r="Z48" s="46"/>
      <c r="AA48" s="69"/>
      <c r="AB48" s="169"/>
    </row>
    <row r="49" spans="1:28" ht="15" customHeight="1" thickBot="1" x14ac:dyDescent="0.35">
      <c r="A49" s="36">
        <v>31</v>
      </c>
      <c r="B49" s="29">
        <v>1995</v>
      </c>
      <c r="C49" s="29"/>
      <c r="D49" s="30" t="s">
        <v>206</v>
      </c>
      <c r="E49" s="31" t="s">
        <v>48</v>
      </c>
      <c r="F49" s="31" t="s">
        <v>7</v>
      </c>
      <c r="G49" s="31" t="s">
        <v>186</v>
      </c>
      <c r="H49" s="20">
        <v>3</v>
      </c>
      <c r="I49" s="29">
        <v>1</v>
      </c>
      <c r="J49" s="29">
        <v>2</v>
      </c>
      <c r="K49" s="29"/>
      <c r="L49" s="57">
        <v>18</v>
      </c>
      <c r="M49" s="29">
        <v>55</v>
      </c>
      <c r="N49" s="32">
        <f>O49+Q49+S49+U49+V49+W49</f>
        <v>939.2</v>
      </c>
      <c r="O49" s="32">
        <v>839.6</v>
      </c>
      <c r="P49" s="35">
        <v>485.3</v>
      </c>
      <c r="Q49" s="213"/>
      <c r="R49" s="210"/>
      <c r="S49" s="210"/>
      <c r="T49" s="210"/>
      <c r="U49" s="210"/>
      <c r="V49" s="29">
        <v>86.2</v>
      </c>
      <c r="W49" s="29">
        <v>13.4</v>
      </c>
      <c r="X49" s="25">
        <f>V49*1.3</f>
        <v>112.06</v>
      </c>
      <c r="Y49" s="46">
        <f>W49+X49</f>
        <v>125.46000000000001</v>
      </c>
      <c r="Z49" s="46">
        <f>W49+X49-Y49</f>
        <v>0</v>
      </c>
      <c r="AA49" s="71"/>
      <c r="AB49" s="179">
        <v>63.5</v>
      </c>
    </row>
    <row r="50" spans="1:28" ht="13.5" thickBot="1" x14ac:dyDescent="0.35">
      <c r="A50" s="72"/>
      <c r="B50" s="61"/>
      <c r="C50" s="61"/>
      <c r="D50" s="31"/>
      <c r="E50" s="31"/>
      <c r="F50" s="31"/>
      <c r="G50" s="31"/>
      <c r="H50" s="31"/>
      <c r="I50" s="61">
        <f t="shared" ref="I50:AB50" si="11">SUM(I49)</f>
        <v>1</v>
      </c>
      <c r="J50" s="61">
        <f t="shared" si="11"/>
        <v>2</v>
      </c>
      <c r="K50" s="61">
        <f t="shared" si="11"/>
        <v>0</v>
      </c>
      <c r="L50" s="73">
        <f t="shared" si="11"/>
        <v>18</v>
      </c>
      <c r="M50" s="61">
        <f t="shared" si="11"/>
        <v>55</v>
      </c>
      <c r="N50" s="74">
        <f t="shared" si="11"/>
        <v>939.2</v>
      </c>
      <c r="O50" s="74">
        <f t="shared" si="11"/>
        <v>839.6</v>
      </c>
      <c r="P50" s="75">
        <f t="shared" si="11"/>
        <v>485.3</v>
      </c>
      <c r="Q50" s="222">
        <f t="shared" si="11"/>
        <v>0</v>
      </c>
      <c r="R50" s="221">
        <f t="shared" si="11"/>
        <v>0</v>
      </c>
      <c r="S50" s="221">
        <f t="shared" si="11"/>
        <v>0</v>
      </c>
      <c r="T50" s="221">
        <f t="shared" si="11"/>
        <v>0</v>
      </c>
      <c r="U50" s="221">
        <f t="shared" si="11"/>
        <v>0</v>
      </c>
      <c r="V50" s="61">
        <f t="shared" si="11"/>
        <v>86.2</v>
      </c>
      <c r="W50" s="61">
        <f t="shared" si="11"/>
        <v>13.4</v>
      </c>
      <c r="X50" s="62">
        <f t="shared" si="11"/>
        <v>112.06</v>
      </c>
      <c r="Y50" s="76">
        <f t="shared" si="11"/>
        <v>125.46000000000001</v>
      </c>
      <c r="Z50" s="76">
        <f t="shared" si="11"/>
        <v>0</v>
      </c>
      <c r="AA50" s="77">
        <f t="shared" si="11"/>
        <v>0</v>
      </c>
      <c r="AB50" s="78">
        <f t="shared" si="11"/>
        <v>63.5</v>
      </c>
    </row>
    <row r="51" spans="1:28" x14ac:dyDescent="0.3">
      <c r="A51" s="36"/>
      <c r="B51" s="29"/>
      <c r="C51" s="29"/>
      <c r="D51" s="31" t="s">
        <v>136</v>
      </c>
      <c r="E51" s="31"/>
      <c r="F51" s="31"/>
      <c r="G51" s="20"/>
      <c r="H51" s="20"/>
      <c r="I51" s="29"/>
      <c r="J51" s="29"/>
      <c r="K51" s="29"/>
      <c r="L51" s="57"/>
      <c r="M51" s="29"/>
      <c r="N51" s="22"/>
      <c r="O51" s="32"/>
      <c r="P51" s="35"/>
      <c r="Q51" s="213"/>
      <c r="R51" s="210"/>
      <c r="S51" s="210"/>
      <c r="T51" s="210"/>
      <c r="U51" s="210"/>
      <c r="V51" s="29"/>
      <c r="W51" s="29"/>
      <c r="X51" s="29"/>
      <c r="Y51" s="29"/>
      <c r="Z51" s="46"/>
      <c r="AA51" s="69"/>
      <c r="AB51" s="169"/>
    </row>
    <row r="52" spans="1:28" ht="15.75" customHeight="1" x14ac:dyDescent="0.3">
      <c r="A52" s="36">
        <v>32</v>
      </c>
      <c r="B52" s="29">
        <v>1989</v>
      </c>
      <c r="C52" s="29"/>
      <c r="D52" s="30" t="s">
        <v>207</v>
      </c>
      <c r="E52" s="31" t="s">
        <v>208</v>
      </c>
      <c r="F52" s="31" t="s">
        <v>147</v>
      </c>
      <c r="G52" s="31" t="s">
        <v>197</v>
      </c>
      <c r="H52" s="20">
        <v>3</v>
      </c>
      <c r="I52" s="29">
        <v>1</v>
      </c>
      <c r="J52" s="29">
        <v>3</v>
      </c>
      <c r="K52" s="29"/>
      <c r="L52" s="57">
        <v>27</v>
      </c>
      <c r="M52" s="29">
        <v>70</v>
      </c>
      <c r="N52" s="23">
        <f>O52+Q52+S52+U52+V52+W52</f>
        <v>1341.42</v>
      </c>
      <c r="O52" s="23">
        <v>1209.92</v>
      </c>
      <c r="P52" s="35">
        <v>678.6</v>
      </c>
      <c r="Q52" s="213"/>
      <c r="R52" s="210"/>
      <c r="S52" s="210"/>
      <c r="T52" s="210"/>
      <c r="U52" s="210"/>
      <c r="V52" s="29">
        <v>120.5</v>
      </c>
      <c r="W52" s="29">
        <v>11</v>
      </c>
      <c r="X52" s="25">
        <f>V52*1.3</f>
        <v>156.65</v>
      </c>
      <c r="Y52" s="25">
        <f>W52+X52</f>
        <v>167.65</v>
      </c>
      <c r="Z52" s="46">
        <f>W52+X52-Y52</f>
        <v>0</v>
      </c>
      <c r="AA52" s="197"/>
      <c r="AB52" s="149">
        <v>72.099999999999994</v>
      </c>
    </row>
    <row r="53" spans="1:28" ht="15.75" customHeight="1" thickBot="1" x14ac:dyDescent="0.35">
      <c r="A53" s="36">
        <v>33</v>
      </c>
      <c r="B53" s="29">
        <v>1990</v>
      </c>
      <c r="C53" s="29"/>
      <c r="D53" s="30" t="s">
        <v>207</v>
      </c>
      <c r="E53" s="31" t="s">
        <v>209</v>
      </c>
      <c r="F53" s="31" t="s">
        <v>147</v>
      </c>
      <c r="G53" s="31" t="s">
        <v>197</v>
      </c>
      <c r="H53" s="20">
        <v>3</v>
      </c>
      <c r="I53" s="29">
        <v>1</v>
      </c>
      <c r="J53" s="29">
        <v>3</v>
      </c>
      <c r="K53" s="29"/>
      <c r="L53" s="57">
        <v>27</v>
      </c>
      <c r="M53" s="29">
        <v>73</v>
      </c>
      <c r="N53" s="23">
        <f>O53+Q53+S53+U53+V53+W53</f>
        <v>1333.8000000000002</v>
      </c>
      <c r="O53" s="23">
        <v>1207.2</v>
      </c>
      <c r="P53" s="35">
        <f>669.4-0.2-0.4</f>
        <v>668.8</v>
      </c>
      <c r="Q53" s="213"/>
      <c r="R53" s="210"/>
      <c r="S53" s="210"/>
      <c r="T53" s="210"/>
      <c r="U53" s="210"/>
      <c r="V53" s="29">
        <v>119.7</v>
      </c>
      <c r="W53" s="29">
        <v>6.9</v>
      </c>
      <c r="X53" s="25">
        <f>V53*1.3</f>
        <v>155.61000000000001</v>
      </c>
      <c r="Y53" s="25">
        <f>W53+X53</f>
        <v>162.51000000000002</v>
      </c>
      <c r="Z53" s="46">
        <f>W53+X53-Y53</f>
        <v>0</v>
      </c>
      <c r="AA53" s="180"/>
      <c r="AB53" s="170">
        <v>73</v>
      </c>
    </row>
    <row r="54" spans="1:28" x14ac:dyDescent="0.3">
      <c r="A54" s="36"/>
      <c r="B54" s="29"/>
      <c r="C54" s="29"/>
      <c r="D54" s="31"/>
      <c r="E54" s="31"/>
      <c r="F54" s="31"/>
      <c r="G54" s="20"/>
      <c r="H54" s="20"/>
      <c r="I54" s="61">
        <f t="shared" ref="I54:AB54" si="12">SUM(I52:I53)</f>
        <v>2</v>
      </c>
      <c r="J54" s="61">
        <f t="shared" si="12"/>
        <v>6</v>
      </c>
      <c r="K54" s="61">
        <f t="shared" si="12"/>
        <v>0</v>
      </c>
      <c r="L54" s="73">
        <f t="shared" si="12"/>
        <v>54</v>
      </c>
      <c r="M54" s="61">
        <f t="shared" si="12"/>
        <v>143</v>
      </c>
      <c r="N54" s="2">
        <f t="shared" si="12"/>
        <v>2675.2200000000003</v>
      </c>
      <c r="O54" s="2">
        <f t="shared" si="12"/>
        <v>2417.12</v>
      </c>
      <c r="P54" s="75">
        <f t="shared" si="12"/>
        <v>1347.4</v>
      </c>
      <c r="Q54" s="222">
        <f t="shared" si="12"/>
        <v>0</v>
      </c>
      <c r="R54" s="221">
        <f t="shared" si="12"/>
        <v>0</v>
      </c>
      <c r="S54" s="221">
        <f t="shared" si="12"/>
        <v>0</v>
      </c>
      <c r="T54" s="221">
        <f t="shared" si="12"/>
        <v>0</v>
      </c>
      <c r="U54" s="221">
        <f t="shared" si="12"/>
        <v>0</v>
      </c>
      <c r="V54" s="61">
        <f t="shared" si="12"/>
        <v>240.2</v>
      </c>
      <c r="W54" s="61">
        <f t="shared" si="12"/>
        <v>17.899999999999999</v>
      </c>
      <c r="X54" s="62">
        <f t="shared" si="12"/>
        <v>312.26</v>
      </c>
      <c r="Y54" s="65">
        <f t="shared" si="12"/>
        <v>330.16</v>
      </c>
      <c r="Z54" s="76">
        <f t="shared" si="12"/>
        <v>0</v>
      </c>
      <c r="AA54" s="79">
        <f t="shared" si="12"/>
        <v>0</v>
      </c>
      <c r="AB54" s="80">
        <f t="shared" si="12"/>
        <v>145.1</v>
      </c>
    </row>
    <row r="55" spans="1:28" x14ac:dyDescent="0.3">
      <c r="A55" s="81"/>
      <c r="B55" s="21"/>
      <c r="C55" s="21"/>
      <c r="D55" s="61" t="s">
        <v>191</v>
      </c>
      <c r="E55" s="21"/>
      <c r="F55" s="21"/>
      <c r="G55" s="29"/>
      <c r="H55" s="21"/>
      <c r="I55" s="21"/>
      <c r="J55" s="21"/>
      <c r="K55" s="21"/>
      <c r="L55" s="21"/>
      <c r="M55" s="21"/>
      <c r="N55" s="21"/>
      <c r="O55" s="21"/>
      <c r="P55" s="50"/>
      <c r="Q55" s="213"/>
      <c r="R55" s="210"/>
      <c r="S55" s="210"/>
      <c r="T55" s="210"/>
      <c r="U55" s="210"/>
      <c r="V55" s="21"/>
      <c r="W55" s="21"/>
      <c r="X55" s="21"/>
      <c r="Y55" s="21"/>
      <c r="Z55" s="21"/>
      <c r="AA55" s="34"/>
      <c r="AB55" s="50"/>
    </row>
    <row r="56" spans="1:28" ht="13.5" thickBot="1" x14ac:dyDescent="0.35">
      <c r="A56" s="36">
        <v>34</v>
      </c>
      <c r="B56" s="29">
        <v>2008</v>
      </c>
      <c r="C56" s="29"/>
      <c r="D56" s="30" t="s">
        <v>192</v>
      </c>
      <c r="E56" s="31">
        <v>46</v>
      </c>
      <c r="F56" s="31" t="s">
        <v>7</v>
      </c>
      <c r="G56" s="31" t="s">
        <v>183</v>
      </c>
      <c r="H56" s="20">
        <v>4</v>
      </c>
      <c r="I56" s="29">
        <v>1</v>
      </c>
      <c r="J56" s="29">
        <v>3</v>
      </c>
      <c r="K56" s="29"/>
      <c r="L56" s="57">
        <v>47</v>
      </c>
      <c r="M56" s="29">
        <v>98</v>
      </c>
      <c r="N56" s="23">
        <f>O56+Q56+S56+U56+V56+W56</f>
        <v>2628.2</v>
      </c>
      <c r="O56" s="23">
        <v>2092</v>
      </c>
      <c r="P56" s="35">
        <v>1503.3</v>
      </c>
      <c r="Q56" s="213"/>
      <c r="R56" s="210"/>
      <c r="S56" s="210">
        <f>56.8+93.9</f>
        <v>150.69999999999999</v>
      </c>
      <c r="T56" s="210"/>
      <c r="U56" s="210"/>
      <c r="V56" s="29">
        <v>228.6</v>
      </c>
      <c r="W56" s="29">
        <v>156.9</v>
      </c>
      <c r="X56" s="29">
        <f>V56*1.3</f>
        <v>297.18</v>
      </c>
      <c r="Y56" s="29">
        <f>W56+X56</f>
        <v>454.08000000000004</v>
      </c>
      <c r="Z56" s="46">
        <f>W56+X56-Y56</f>
        <v>0</v>
      </c>
      <c r="AA56" s="71"/>
      <c r="AB56" s="170"/>
    </row>
    <row r="57" spans="1:28" ht="13.5" customHeight="1" x14ac:dyDescent="0.3">
      <c r="A57" s="36">
        <v>35</v>
      </c>
      <c r="B57" s="29">
        <v>2013</v>
      </c>
      <c r="C57" s="29"/>
      <c r="D57" s="30" t="s">
        <v>213</v>
      </c>
      <c r="E57" s="31">
        <v>5</v>
      </c>
      <c r="F57" s="181" t="s">
        <v>215</v>
      </c>
      <c r="G57" s="31">
        <v>11</v>
      </c>
      <c r="H57" s="20">
        <v>3</v>
      </c>
      <c r="I57" s="29">
        <v>1</v>
      </c>
      <c r="J57" s="29">
        <v>4</v>
      </c>
      <c r="K57" s="29">
        <v>4</v>
      </c>
      <c r="L57" s="57">
        <v>32</v>
      </c>
      <c r="M57" s="29"/>
      <c r="N57" s="23">
        <v>2239.6</v>
      </c>
      <c r="O57" s="23">
        <v>1704.6</v>
      </c>
      <c r="P57" s="35">
        <v>964.1</v>
      </c>
      <c r="Q57" s="213"/>
      <c r="R57" s="210"/>
      <c r="S57" s="210"/>
      <c r="T57" s="210"/>
      <c r="U57" s="210"/>
      <c r="V57" s="29">
        <v>288.7</v>
      </c>
      <c r="W57" s="29">
        <v>246.3</v>
      </c>
      <c r="X57" s="29">
        <v>375.31</v>
      </c>
      <c r="Y57" s="29">
        <v>621.61</v>
      </c>
      <c r="Z57" s="46">
        <v>0</v>
      </c>
      <c r="AA57" s="182"/>
      <c r="AB57" s="29"/>
    </row>
    <row r="58" spans="1:28" x14ac:dyDescent="0.3">
      <c r="A58" s="36"/>
      <c r="B58" s="29"/>
      <c r="C58" s="29"/>
      <c r="D58" s="30"/>
      <c r="E58" s="31"/>
      <c r="F58" s="31"/>
      <c r="G58" s="31"/>
      <c r="H58" s="20"/>
      <c r="I58" s="61">
        <f>SUM(I56:I57)</f>
        <v>2</v>
      </c>
      <c r="J58" s="61">
        <f>SUM(J56:J57)</f>
        <v>7</v>
      </c>
      <c r="K58" s="29"/>
      <c r="L58" s="61">
        <f>SUM(L56:L57)</f>
        <v>79</v>
      </c>
      <c r="M58" s="61">
        <f>SUM(M56:M57)</f>
        <v>98</v>
      </c>
      <c r="N58" s="61">
        <f>SUM(N56:N57)</f>
        <v>4867.7999999999993</v>
      </c>
      <c r="O58" s="61">
        <f>SUM(O56:O57)</f>
        <v>3796.6</v>
      </c>
      <c r="P58" s="61">
        <f>SUM(P56:P57)</f>
        <v>2467.4</v>
      </c>
      <c r="Q58" s="213"/>
      <c r="R58" s="210"/>
      <c r="S58" s="221">
        <f>SUM(S56:S57)</f>
        <v>150.69999999999999</v>
      </c>
      <c r="T58" s="210"/>
      <c r="U58" s="221">
        <f t="shared" ref="U58:AB58" si="13">SUM(U56:U57)</f>
        <v>0</v>
      </c>
      <c r="V58" s="61">
        <f t="shared" si="13"/>
        <v>517.29999999999995</v>
      </c>
      <c r="W58" s="61">
        <f t="shared" si="13"/>
        <v>403.20000000000005</v>
      </c>
      <c r="X58" s="61">
        <f t="shared" si="13"/>
        <v>672.49</v>
      </c>
      <c r="Y58" s="61">
        <f t="shared" si="13"/>
        <v>1075.69</v>
      </c>
      <c r="Z58" s="61">
        <f t="shared" si="13"/>
        <v>0</v>
      </c>
      <c r="AA58" s="61">
        <f t="shared" si="13"/>
        <v>0</v>
      </c>
      <c r="AB58" s="61">
        <f t="shared" si="13"/>
        <v>0</v>
      </c>
    </row>
    <row r="59" spans="1:28" x14ac:dyDescent="0.3">
      <c r="A59" s="36"/>
      <c r="B59" s="29"/>
      <c r="C59" s="29"/>
      <c r="D59" s="31" t="s">
        <v>214</v>
      </c>
      <c r="E59" s="31"/>
      <c r="F59" s="31"/>
      <c r="G59" s="31"/>
      <c r="H59" s="20"/>
      <c r="I59" s="29"/>
      <c r="J59" s="29"/>
      <c r="K59" s="29"/>
      <c r="L59" s="57"/>
      <c r="M59" s="29"/>
      <c r="N59" s="23"/>
      <c r="O59" s="23"/>
      <c r="P59" s="35"/>
      <c r="Q59" s="213"/>
      <c r="R59" s="210"/>
      <c r="S59" s="210"/>
      <c r="T59" s="210"/>
      <c r="U59" s="210"/>
      <c r="V59" s="29"/>
      <c r="W59" s="29"/>
      <c r="X59" s="29"/>
      <c r="Y59" s="29"/>
      <c r="Z59" s="46"/>
      <c r="AA59" s="29"/>
      <c r="AB59" s="29"/>
    </row>
    <row r="60" spans="1:28" x14ac:dyDescent="0.3">
      <c r="A60" s="36">
        <v>36</v>
      </c>
      <c r="B60" s="29">
        <v>2008</v>
      </c>
      <c r="C60" s="29"/>
      <c r="D60" s="30" t="s">
        <v>192</v>
      </c>
      <c r="E60" s="31">
        <v>41</v>
      </c>
      <c r="F60" s="31" t="s">
        <v>7</v>
      </c>
      <c r="G60" s="31" t="s">
        <v>183</v>
      </c>
      <c r="H60" s="20">
        <v>4</v>
      </c>
      <c r="I60" s="29">
        <v>1</v>
      </c>
      <c r="J60" s="29">
        <v>3</v>
      </c>
      <c r="K60" s="29"/>
      <c r="L60" s="57">
        <v>36</v>
      </c>
      <c r="M60" s="29">
        <v>64</v>
      </c>
      <c r="N60" s="23">
        <f>O60+Q60+S60+U60+V60+W60</f>
        <v>3360.3</v>
      </c>
      <c r="O60" s="23">
        <v>2297.8000000000002</v>
      </c>
      <c r="P60" s="35">
        <v>1246</v>
      </c>
      <c r="Q60" s="213"/>
      <c r="R60" s="210"/>
      <c r="S60" s="210">
        <f>121.1+120.4+127.7+123+121.7+131.4</f>
        <v>745.3</v>
      </c>
      <c r="T60" s="210"/>
      <c r="U60" s="210"/>
      <c r="V60" s="29">
        <v>184.5</v>
      </c>
      <c r="W60" s="82">
        <f>45.6+29.2+28.7+29.2</f>
        <v>132.69999999999999</v>
      </c>
      <c r="X60" s="29">
        <f>V60*1.3</f>
        <v>239.85</v>
      </c>
      <c r="Y60" s="82">
        <f>W60+X60</f>
        <v>372.54999999999995</v>
      </c>
      <c r="Z60" s="46">
        <f>W60+X60-Y60</f>
        <v>0</v>
      </c>
      <c r="AA60" s="69">
        <v>111.6</v>
      </c>
      <c r="AB60" s="169"/>
    </row>
    <row r="61" spans="1:28" x14ac:dyDescent="0.3">
      <c r="A61" s="72"/>
      <c r="B61" s="61"/>
      <c r="C61" s="61"/>
      <c r="D61" s="31"/>
      <c r="E61" s="31"/>
      <c r="F61" s="31"/>
      <c r="G61" s="31"/>
      <c r="H61" s="31"/>
      <c r="I61" s="73">
        <f>SUM(I60:I60)</f>
        <v>1</v>
      </c>
      <c r="J61" s="73">
        <f>SUM(J60:J60)</f>
        <v>3</v>
      </c>
      <c r="K61" s="61"/>
      <c r="L61" s="73">
        <f>SUM(L60:L60)</f>
        <v>36</v>
      </c>
      <c r="M61" s="73">
        <f>SUM(M60:M60)</f>
        <v>64</v>
      </c>
      <c r="N61" s="73">
        <f>SUM(N60:N60)</f>
        <v>3360.3</v>
      </c>
      <c r="O61" s="73">
        <f>SUM(O60:O60)</f>
        <v>2297.8000000000002</v>
      </c>
      <c r="P61" s="73">
        <f>SUM(P60:P60)</f>
        <v>1246</v>
      </c>
      <c r="Q61" s="222"/>
      <c r="R61" s="221"/>
      <c r="S61" s="223">
        <f>SUM(S60:S60)</f>
        <v>745.3</v>
      </c>
      <c r="T61" s="218"/>
      <c r="U61" s="223">
        <f t="shared" ref="U61:AA61" si="14">SUM(U60:U60)</f>
        <v>0</v>
      </c>
      <c r="V61" s="73">
        <f t="shared" si="14"/>
        <v>184.5</v>
      </c>
      <c r="W61" s="73">
        <f t="shared" si="14"/>
        <v>132.69999999999999</v>
      </c>
      <c r="X61" s="73">
        <f t="shared" si="14"/>
        <v>239.85</v>
      </c>
      <c r="Y61" s="73">
        <f t="shared" si="14"/>
        <v>372.54999999999995</v>
      </c>
      <c r="Z61" s="73">
        <f t="shared" si="14"/>
        <v>0</v>
      </c>
      <c r="AA61" s="73">
        <f t="shared" si="14"/>
        <v>111.6</v>
      </c>
      <c r="AB61" s="171"/>
    </row>
    <row r="62" spans="1:28" x14ac:dyDescent="0.3">
      <c r="A62" s="36"/>
      <c r="B62" s="29"/>
      <c r="C62" s="29"/>
      <c r="D62" s="61" t="s">
        <v>204</v>
      </c>
      <c r="E62" s="31"/>
      <c r="F62" s="31"/>
      <c r="G62" s="20"/>
      <c r="H62" s="20"/>
      <c r="I62" s="29"/>
      <c r="J62" s="29"/>
      <c r="K62" s="29"/>
      <c r="L62" s="55"/>
      <c r="M62" s="29"/>
      <c r="N62" s="22"/>
      <c r="O62" s="32"/>
      <c r="P62" s="35"/>
      <c r="Q62" s="213"/>
      <c r="R62" s="210"/>
      <c r="S62" s="210"/>
      <c r="T62" s="210"/>
      <c r="U62" s="210"/>
      <c r="V62" s="29"/>
      <c r="W62" s="29"/>
      <c r="X62" s="29"/>
      <c r="Y62" s="29"/>
      <c r="Z62" s="46"/>
      <c r="AA62" s="69"/>
      <c r="AB62" s="169"/>
    </row>
    <row r="63" spans="1:28" ht="26" x14ac:dyDescent="0.3">
      <c r="A63" s="36">
        <v>37</v>
      </c>
      <c r="B63" s="29">
        <v>1982</v>
      </c>
      <c r="C63" s="61"/>
      <c r="D63" s="30" t="s">
        <v>199</v>
      </c>
      <c r="E63" s="31" t="s">
        <v>200</v>
      </c>
      <c r="F63" s="31" t="s">
        <v>7</v>
      </c>
      <c r="G63" s="31" t="s">
        <v>212</v>
      </c>
      <c r="H63" s="31">
        <v>8</v>
      </c>
      <c r="I63" s="61">
        <v>1</v>
      </c>
      <c r="J63" s="61">
        <v>1</v>
      </c>
      <c r="K63" s="61"/>
      <c r="L63" s="57">
        <v>103</v>
      </c>
      <c r="M63" s="29">
        <v>241</v>
      </c>
      <c r="N63" s="23">
        <f>O63+Q63+S63+U63+V63+W63</f>
        <v>5150.29</v>
      </c>
      <c r="O63" s="23">
        <v>3101.19</v>
      </c>
      <c r="P63" s="35">
        <v>3064.1</v>
      </c>
      <c r="Q63" s="222"/>
      <c r="R63" s="221"/>
      <c r="S63" s="218"/>
      <c r="T63" s="221"/>
      <c r="U63" s="210">
        <v>550.79999999999995</v>
      </c>
      <c r="V63" s="82">
        <v>1359.7</v>
      </c>
      <c r="W63" s="46">
        <v>138.6</v>
      </c>
      <c r="X63" s="29">
        <f>V63*1.3</f>
        <v>1767.6100000000001</v>
      </c>
      <c r="Y63" s="82">
        <f>W63+X63</f>
        <v>1906.21</v>
      </c>
      <c r="Z63" s="76"/>
      <c r="AA63" s="83"/>
      <c r="AB63" s="171"/>
    </row>
    <row r="64" spans="1:28" x14ac:dyDescent="0.3">
      <c r="A64" s="36">
        <v>38</v>
      </c>
      <c r="B64" s="29">
        <v>1986</v>
      </c>
      <c r="C64" s="61"/>
      <c r="D64" s="30" t="s">
        <v>27</v>
      </c>
      <c r="E64" s="31">
        <v>61</v>
      </c>
      <c r="F64" s="31" t="s">
        <v>7</v>
      </c>
      <c r="G64" s="31" t="s">
        <v>212</v>
      </c>
      <c r="H64" s="31">
        <v>8</v>
      </c>
      <c r="I64" s="61">
        <v>1</v>
      </c>
      <c r="J64" s="61">
        <v>1</v>
      </c>
      <c r="K64" s="61"/>
      <c r="L64" s="57"/>
      <c r="M64" s="29">
        <v>232</v>
      </c>
      <c r="N64" s="23">
        <f>O64+Q64+S64+U64+V64+W64</f>
        <v>5383.25</v>
      </c>
      <c r="O64" s="23">
        <v>3023.85</v>
      </c>
      <c r="P64" s="35">
        <v>1930.1</v>
      </c>
      <c r="Q64" s="222"/>
      <c r="R64" s="221"/>
      <c r="S64" s="218"/>
      <c r="T64" s="221"/>
      <c r="U64" s="210">
        <f>30.7+30.7+31.4+16+252.1+48.1+107.2+31.3</f>
        <v>547.5</v>
      </c>
      <c r="V64" s="82">
        <v>1499.4</v>
      </c>
      <c r="W64" s="46">
        <v>312.5</v>
      </c>
      <c r="X64" s="29">
        <f>V64*1.3</f>
        <v>1949.2200000000003</v>
      </c>
      <c r="Y64" s="82">
        <f>W64+X64</f>
        <v>2261.7200000000003</v>
      </c>
      <c r="Z64" s="76"/>
      <c r="AA64" s="61"/>
      <c r="AB64" s="61"/>
    </row>
    <row r="65" spans="1:28" x14ac:dyDescent="0.3">
      <c r="A65" s="36">
        <v>39</v>
      </c>
      <c r="B65" s="29">
        <v>1987</v>
      </c>
      <c r="C65" s="29"/>
      <c r="D65" s="30" t="s">
        <v>6</v>
      </c>
      <c r="E65" s="31">
        <v>18</v>
      </c>
      <c r="F65" s="31" t="s">
        <v>7</v>
      </c>
      <c r="G65" s="31" t="s">
        <v>212</v>
      </c>
      <c r="H65" s="20">
        <v>8</v>
      </c>
      <c r="I65" s="29">
        <v>1</v>
      </c>
      <c r="J65" s="29">
        <v>1</v>
      </c>
      <c r="K65" s="29"/>
      <c r="L65" s="57">
        <v>91</v>
      </c>
      <c r="M65" s="29">
        <v>235</v>
      </c>
      <c r="N65" s="23">
        <f>O65+Q65+S65+U65+V65+W65</f>
        <v>5116.4000000000005</v>
      </c>
      <c r="O65" s="23">
        <v>2790.6</v>
      </c>
      <c r="P65" s="35">
        <v>1870.7</v>
      </c>
      <c r="Q65" s="213"/>
      <c r="R65" s="210"/>
      <c r="S65" s="210"/>
      <c r="T65" s="210"/>
      <c r="U65" s="210">
        <f>276.3+15.5+26.8+28.9+12.4+15.5+51.9+28.9+15.9+40.3+59</f>
        <v>571.39999999999986</v>
      </c>
      <c r="V65" s="29">
        <v>1445.3</v>
      </c>
      <c r="W65" s="46">
        <v>309.10000000000002</v>
      </c>
      <c r="X65" s="29">
        <f>V65*1.3</f>
        <v>1878.89</v>
      </c>
      <c r="Y65" s="82">
        <f>W65+X65</f>
        <v>2187.9900000000002</v>
      </c>
      <c r="Z65" s="76">
        <f>SUM(Z63)</f>
        <v>0</v>
      </c>
      <c r="AA65" s="83">
        <f>SUM(AA63:AA64)</f>
        <v>0</v>
      </c>
      <c r="AB65" s="29"/>
    </row>
    <row r="66" spans="1:28" x14ac:dyDescent="0.3">
      <c r="A66" s="36"/>
      <c r="B66" s="29"/>
      <c r="C66" s="29"/>
      <c r="D66" s="30"/>
      <c r="E66" s="31"/>
      <c r="F66" s="31"/>
      <c r="G66" s="20"/>
      <c r="H66" s="20"/>
      <c r="I66" s="61">
        <f t="shared" ref="I66:P66" si="15">SUM(I63:I65)</f>
        <v>3</v>
      </c>
      <c r="J66" s="61">
        <f t="shared" si="15"/>
        <v>3</v>
      </c>
      <c r="K66" s="61">
        <f t="shared" si="15"/>
        <v>0</v>
      </c>
      <c r="L66" s="61">
        <f t="shared" si="15"/>
        <v>194</v>
      </c>
      <c r="M66" s="61">
        <f t="shared" si="15"/>
        <v>708</v>
      </c>
      <c r="N66" s="62">
        <f t="shared" si="15"/>
        <v>15649.940000000002</v>
      </c>
      <c r="O66" s="76">
        <f t="shared" si="15"/>
        <v>8915.64</v>
      </c>
      <c r="P66" s="63">
        <f t="shared" si="15"/>
        <v>6864.9</v>
      </c>
      <c r="Q66" s="213"/>
      <c r="R66" s="210"/>
      <c r="S66" s="210"/>
      <c r="T66" s="210"/>
      <c r="U66" s="224">
        <f>SUM(U63:U65)</f>
        <v>1669.6999999999998</v>
      </c>
      <c r="V66" s="29"/>
      <c r="W66" s="29"/>
      <c r="X66" s="29"/>
      <c r="Y66" s="29"/>
      <c r="Z66" s="46"/>
      <c r="AA66" s="29"/>
      <c r="AB66" s="29"/>
    </row>
    <row r="67" spans="1:28" ht="13.5" thickBot="1" x14ac:dyDescent="0.35">
      <c r="A67" s="72"/>
      <c r="B67" s="61"/>
      <c r="C67" s="61"/>
      <c r="D67" s="84" t="s">
        <v>24</v>
      </c>
      <c r="E67" s="31"/>
      <c r="F67" s="31"/>
      <c r="G67" s="31"/>
      <c r="H67" s="31"/>
      <c r="I67" s="44">
        <f>I21+I28+I35+I47+I50+I54+I58+I61+I66</f>
        <v>39</v>
      </c>
      <c r="J67" s="44">
        <f t="shared" ref="J67:T67" si="16">J21+J28+J35+J47+J50+J54+J58+J61+J66</f>
        <v>148</v>
      </c>
      <c r="K67" s="44">
        <f t="shared" si="16"/>
        <v>2</v>
      </c>
      <c r="L67" s="44">
        <f t="shared" si="16"/>
        <v>2090</v>
      </c>
      <c r="M67" s="44">
        <f t="shared" si="16"/>
        <v>5683</v>
      </c>
      <c r="N67" s="44">
        <f t="shared" si="16"/>
        <v>122237.57</v>
      </c>
      <c r="O67" s="44">
        <f t="shared" si="16"/>
        <v>101424.47</v>
      </c>
      <c r="P67" s="44">
        <f t="shared" si="16"/>
        <v>61032.80000000001</v>
      </c>
      <c r="Q67" s="217">
        <f t="shared" si="16"/>
        <v>100.69999999999999</v>
      </c>
      <c r="R67" s="217">
        <f t="shared" si="16"/>
        <v>0</v>
      </c>
      <c r="S67" s="217">
        <f t="shared" si="16"/>
        <v>2063.1999999999998</v>
      </c>
      <c r="T67" s="217">
        <f t="shared" si="16"/>
        <v>0</v>
      </c>
      <c r="U67" s="217">
        <f t="shared" ref="U67:AB67" si="17">U21+U28+U35+U47+U50+U54+U58+U61+U66</f>
        <v>1839.9999999999998</v>
      </c>
      <c r="V67" s="44">
        <f t="shared" si="17"/>
        <v>8918.5999999999985</v>
      </c>
      <c r="W67" s="44">
        <f t="shared" si="17"/>
        <v>2826</v>
      </c>
      <c r="X67" s="53">
        <f>X21+X28+X35+X47+X50+X54+X58+X61+X66+X65+X64+X63</f>
        <v>17189.900000000001</v>
      </c>
      <c r="Y67" s="53">
        <f>Y21+Y28+Y35+Y47+Y50+Y54+Y58+Y61+Y66+Y65+Y64+Y63</f>
        <v>17628.617999999999</v>
      </c>
      <c r="Z67" s="44">
        <f t="shared" si="17"/>
        <v>3147.482</v>
      </c>
      <c r="AA67" s="44">
        <f t="shared" si="17"/>
        <v>2177.3000000000002</v>
      </c>
      <c r="AB67" s="44">
        <f t="shared" si="17"/>
        <v>352.75</v>
      </c>
    </row>
    <row r="68" spans="1:28" x14ac:dyDescent="0.3">
      <c r="A68" s="85"/>
      <c r="B68" s="57"/>
      <c r="C68" s="57"/>
      <c r="D68" s="86" t="s">
        <v>37</v>
      </c>
      <c r="E68" s="87"/>
      <c r="F68" s="87"/>
      <c r="G68" s="87"/>
      <c r="H68" s="87"/>
      <c r="I68" s="87"/>
      <c r="J68" s="87"/>
      <c r="K68" s="87"/>
      <c r="L68" s="6"/>
      <c r="M68" s="88"/>
      <c r="N68" s="1"/>
      <c r="O68" s="1"/>
      <c r="P68" s="89"/>
      <c r="Q68" s="225"/>
      <c r="R68" s="226"/>
      <c r="S68" s="226"/>
      <c r="T68" s="226"/>
      <c r="U68" s="226"/>
      <c r="V68" s="6"/>
      <c r="W68" s="6"/>
      <c r="X68" s="6"/>
      <c r="Y68" s="6"/>
      <c r="Z68" s="6"/>
      <c r="AA68" s="90"/>
      <c r="AB68" s="90"/>
    </row>
    <row r="69" spans="1:28" x14ac:dyDescent="0.3">
      <c r="A69" s="85">
        <v>40</v>
      </c>
      <c r="B69" s="57">
        <v>1987</v>
      </c>
      <c r="C69" s="57" t="s">
        <v>15</v>
      </c>
      <c r="D69" s="91" t="s">
        <v>38</v>
      </c>
      <c r="E69" s="86">
        <v>15</v>
      </c>
      <c r="F69" s="86" t="s">
        <v>7</v>
      </c>
      <c r="G69" s="92">
        <v>10</v>
      </c>
      <c r="H69" s="87">
        <v>3</v>
      </c>
      <c r="I69" s="87">
        <v>1</v>
      </c>
      <c r="J69" s="87">
        <v>3</v>
      </c>
      <c r="K69" s="87"/>
      <c r="L69" s="87">
        <v>24</v>
      </c>
      <c r="M69" s="57">
        <v>57</v>
      </c>
      <c r="N69" s="1">
        <f>O69+Q69+S69+U69+V69+W69</f>
        <v>1401.1000000000001</v>
      </c>
      <c r="O69" s="156">
        <f>1172.2-63-1.1</f>
        <v>1108.1000000000001</v>
      </c>
      <c r="P69" s="89">
        <f>726.7-40.7-0.6</f>
        <v>685.4</v>
      </c>
      <c r="Q69" s="225"/>
      <c r="R69" s="226"/>
      <c r="S69" s="226">
        <f>86.5+83.3</f>
        <v>169.8</v>
      </c>
      <c r="T69" s="226"/>
      <c r="U69" s="226"/>
      <c r="V69" s="6">
        <v>119</v>
      </c>
      <c r="W69" s="6">
        <v>4.2</v>
      </c>
      <c r="X69" s="93">
        <f t="shared" ref="X69:X76" si="18">V69*1.3</f>
        <v>154.70000000000002</v>
      </c>
      <c r="Y69" s="93">
        <f t="shared" ref="Y69:Y74" si="19">W69+X69</f>
        <v>158.9</v>
      </c>
      <c r="Z69" s="93">
        <f t="shared" ref="Z69:Z76" si="20">W69+X69-Y69</f>
        <v>0</v>
      </c>
      <c r="AA69" s="94"/>
      <c r="AB69" s="94">
        <v>54.2</v>
      </c>
    </row>
    <row r="70" spans="1:28" x14ac:dyDescent="0.3">
      <c r="A70" s="85">
        <v>41</v>
      </c>
      <c r="B70" s="57">
        <v>1990</v>
      </c>
      <c r="C70" s="57" t="s">
        <v>15</v>
      </c>
      <c r="D70" s="91" t="s">
        <v>38</v>
      </c>
      <c r="E70" s="86" t="s">
        <v>114</v>
      </c>
      <c r="F70" s="86" t="s">
        <v>7</v>
      </c>
      <c r="G70" s="92">
        <v>10</v>
      </c>
      <c r="H70" s="87">
        <v>3</v>
      </c>
      <c r="I70" s="87">
        <v>1</v>
      </c>
      <c r="J70" s="87">
        <v>3</v>
      </c>
      <c r="K70" s="87"/>
      <c r="L70" s="57">
        <v>23</v>
      </c>
      <c r="M70" s="87">
        <v>84</v>
      </c>
      <c r="N70" s="1">
        <f>O70+Q70+S70+U70+V70+W70</f>
        <v>1453.1</v>
      </c>
      <c r="O70" s="157">
        <v>1271.5</v>
      </c>
      <c r="P70" s="89">
        <f>747-1.1+0.4-2</f>
        <v>744.3</v>
      </c>
      <c r="Q70" s="227"/>
      <c r="R70" s="228"/>
      <c r="S70" s="226"/>
      <c r="T70" s="226"/>
      <c r="U70" s="226">
        <v>50.6</v>
      </c>
      <c r="V70" s="6">
        <v>117.7</v>
      </c>
      <c r="W70" s="6">
        <v>13.3</v>
      </c>
      <c r="X70" s="6">
        <f t="shared" si="18"/>
        <v>153.01000000000002</v>
      </c>
      <c r="Y70" s="93">
        <f t="shared" si="19"/>
        <v>166.31000000000003</v>
      </c>
      <c r="Z70" s="93">
        <f t="shared" si="20"/>
        <v>0</v>
      </c>
      <c r="AA70" s="96">
        <v>53.7</v>
      </c>
      <c r="AB70" s="96"/>
    </row>
    <row r="71" spans="1:28" x14ac:dyDescent="0.3">
      <c r="A71" s="85">
        <v>42</v>
      </c>
      <c r="B71" s="57">
        <v>1985</v>
      </c>
      <c r="C71" s="57" t="s">
        <v>15</v>
      </c>
      <c r="D71" s="91" t="s">
        <v>38</v>
      </c>
      <c r="E71" s="86" t="s">
        <v>179</v>
      </c>
      <c r="F71" s="86" t="s">
        <v>146</v>
      </c>
      <c r="G71" s="86">
        <v>12</v>
      </c>
      <c r="H71" s="87">
        <v>3</v>
      </c>
      <c r="I71" s="87">
        <v>1</v>
      </c>
      <c r="J71" s="87">
        <v>1</v>
      </c>
      <c r="K71" s="87"/>
      <c r="L71" s="87">
        <v>8</v>
      </c>
      <c r="M71" s="57">
        <v>26</v>
      </c>
      <c r="N71" s="1">
        <f t="shared" ref="N71:N76" si="21">O71+Q71+S71+U71+V71+W71</f>
        <v>464.29999999999995</v>
      </c>
      <c r="O71" s="156">
        <v>380.2</v>
      </c>
      <c r="P71" s="89">
        <v>188</v>
      </c>
      <c r="Q71" s="225"/>
      <c r="R71" s="226"/>
      <c r="S71" s="226"/>
      <c r="T71" s="226"/>
      <c r="U71" s="226"/>
      <c r="V71" s="6">
        <v>54.2</v>
      </c>
      <c r="W71" s="6">
        <v>29.9</v>
      </c>
      <c r="X71" s="6">
        <f t="shared" si="18"/>
        <v>70.460000000000008</v>
      </c>
      <c r="Y71" s="93">
        <f t="shared" si="19"/>
        <v>100.36000000000001</v>
      </c>
      <c r="Z71" s="93">
        <f t="shared" si="20"/>
        <v>0</v>
      </c>
      <c r="AA71" s="98"/>
      <c r="AB71" s="98">
        <v>57.9</v>
      </c>
    </row>
    <row r="72" spans="1:28" x14ac:dyDescent="0.3">
      <c r="A72" s="85">
        <v>43</v>
      </c>
      <c r="B72" s="57">
        <v>1985</v>
      </c>
      <c r="C72" s="57" t="s">
        <v>15</v>
      </c>
      <c r="D72" s="91" t="s">
        <v>38</v>
      </c>
      <c r="E72" s="86" t="s">
        <v>180</v>
      </c>
      <c r="F72" s="86" t="s">
        <v>146</v>
      </c>
      <c r="G72" s="86">
        <v>12</v>
      </c>
      <c r="H72" s="87">
        <v>3</v>
      </c>
      <c r="I72" s="87">
        <v>1</v>
      </c>
      <c r="J72" s="87">
        <v>1</v>
      </c>
      <c r="K72" s="87"/>
      <c r="L72" s="87">
        <v>6</v>
      </c>
      <c r="M72" s="57">
        <v>22</v>
      </c>
      <c r="N72" s="1">
        <f t="shared" si="21"/>
        <v>442.1</v>
      </c>
      <c r="O72" s="156">
        <v>388.3</v>
      </c>
      <c r="P72" s="89">
        <v>218.7</v>
      </c>
      <c r="Q72" s="225"/>
      <c r="R72" s="226"/>
      <c r="S72" s="226"/>
      <c r="T72" s="226"/>
      <c r="U72" s="226"/>
      <c r="V72" s="6">
        <v>27.1</v>
      </c>
      <c r="W72" s="6">
        <v>26.7</v>
      </c>
      <c r="X72" s="6">
        <f t="shared" si="18"/>
        <v>35.230000000000004</v>
      </c>
      <c r="Y72" s="93">
        <f t="shared" si="19"/>
        <v>61.930000000000007</v>
      </c>
      <c r="Z72" s="93">
        <f t="shared" si="20"/>
        <v>0</v>
      </c>
      <c r="AA72" s="96"/>
      <c r="AB72" s="96">
        <v>57.9</v>
      </c>
    </row>
    <row r="73" spans="1:28" x14ac:dyDescent="0.3">
      <c r="A73" s="85">
        <v>44</v>
      </c>
      <c r="B73" s="57">
        <v>1987</v>
      </c>
      <c r="C73" s="57" t="s">
        <v>15</v>
      </c>
      <c r="D73" s="91" t="s">
        <v>27</v>
      </c>
      <c r="E73" s="86">
        <v>101</v>
      </c>
      <c r="F73" s="86" t="s">
        <v>146</v>
      </c>
      <c r="G73" s="86">
        <v>12</v>
      </c>
      <c r="H73" s="87">
        <v>3</v>
      </c>
      <c r="I73" s="87">
        <v>1</v>
      </c>
      <c r="J73" s="87">
        <v>1</v>
      </c>
      <c r="K73" s="87"/>
      <c r="L73" s="87">
        <v>4</v>
      </c>
      <c r="M73" s="57">
        <v>15</v>
      </c>
      <c r="N73" s="1">
        <f t="shared" si="21"/>
        <v>555.4</v>
      </c>
      <c r="O73" s="156">
        <v>377.9</v>
      </c>
      <c r="P73" s="89">
        <v>151.80000000000001</v>
      </c>
      <c r="Q73" s="225"/>
      <c r="R73" s="226"/>
      <c r="S73" s="228"/>
      <c r="T73" s="226"/>
      <c r="U73" s="226">
        <v>120.5</v>
      </c>
      <c r="V73" s="6">
        <v>41.5</v>
      </c>
      <c r="W73" s="6">
        <v>15.5</v>
      </c>
      <c r="X73" s="6">
        <f t="shared" si="18"/>
        <v>53.95</v>
      </c>
      <c r="Y73" s="93">
        <f t="shared" si="19"/>
        <v>69.45</v>
      </c>
      <c r="Z73" s="93">
        <f t="shared" si="20"/>
        <v>0</v>
      </c>
      <c r="AA73" s="98"/>
      <c r="AB73" s="98">
        <v>57.9</v>
      </c>
    </row>
    <row r="74" spans="1:28" x14ac:dyDescent="0.3">
      <c r="A74" s="85">
        <v>45</v>
      </c>
      <c r="B74" s="57">
        <v>1989</v>
      </c>
      <c r="C74" s="57" t="s">
        <v>15</v>
      </c>
      <c r="D74" s="91" t="s">
        <v>185</v>
      </c>
      <c r="E74" s="86" t="s">
        <v>142</v>
      </c>
      <c r="F74" s="86" t="s">
        <v>7</v>
      </c>
      <c r="G74" s="86">
        <v>10</v>
      </c>
      <c r="H74" s="87">
        <v>3</v>
      </c>
      <c r="I74" s="87">
        <v>1</v>
      </c>
      <c r="J74" s="87">
        <v>3</v>
      </c>
      <c r="K74" s="87"/>
      <c r="L74" s="87">
        <v>30</v>
      </c>
      <c r="M74" s="57">
        <v>103</v>
      </c>
      <c r="N74" s="1">
        <f t="shared" si="21"/>
        <v>1743.9</v>
      </c>
      <c r="O74" s="156">
        <v>1581.9</v>
      </c>
      <c r="P74" s="89">
        <v>922.5</v>
      </c>
      <c r="Q74" s="225"/>
      <c r="R74" s="226"/>
      <c r="S74" s="228"/>
      <c r="T74" s="226"/>
      <c r="U74" s="226"/>
      <c r="V74" s="6">
        <v>73.900000000000006</v>
      </c>
      <c r="W74" s="6">
        <v>88.1</v>
      </c>
      <c r="X74" s="6">
        <f t="shared" si="18"/>
        <v>96.070000000000007</v>
      </c>
      <c r="Y74" s="93">
        <f t="shared" si="19"/>
        <v>184.17000000000002</v>
      </c>
      <c r="Z74" s="93">
        <f t="shared" si="20"/>
        <v>0</v>
      </c>
      <c r="AA74" s="5">
        <v>37.799999999999997</v>
      </c>
      <c r="AB74" s="122"/>
    </row>
    <row r="75" spans="1:28" x14ac:dyDescent="0.3">
      <c r="A75" s="85">
        <v>46</v>
      </c>
      <c r="B75" s="57">
        <v>1983</v>
      </c>
      <c r="C75" s="57" t="s">
        <v>15</v>
      </c>
      <c r="D75" s="91" t="s">
        <v>38</v>
      </c>
      <c r="E75" s="86" t="s">
        <v>109</v>
      </c>
      <c r="F75" s="86" t="s">
        <v>7</v>
      </c>
      <c r="G75" s="86">
        <v>8</v>
      </c>
      <c r="H75" s="87">
        <v>3</v>
      </c>
      <c r="I75" s="87">
        <v>1</v>
      </c>
      <c r="J75" s="87">
        <v>2</v>
      </c>
      <c r="K75" s="87"/>
      <c r="L75" s="87">
        <v>24</v>
      </c>
      <c r="M75" s="57">
        <v>79</v>
      </c>
      <c r="N75" s="1">
        <f>O75+Q75+S75+U75+V75+W75</f>
        <v>1541.2</v>
      </c>
      <c r="O75" s="156">
        <v>1339.5</v>
      </c>
      <c r="P75" s="89">
        <f>761.3-0.4</f>
        <v>760.9</v>
      </c>
      <c r="Q75" s="229">
        <v>65</v>
      </c>
      <c r="R75" s="226"/>
      <c r="S75" s="228"/>
      <c r="T75" s="226"/>
      <c r="U75" s="226"/>
      <c r="V75" s="6">
        <v>99.2</v>
      </c>
      <c r="W75" s="6">
        <v>37.5</v>
      </c>
      <c r="X75" s="6">
        <f t="shared" si="18"/>
        <v>128.96</v>
      </c>
      <c r="Y75" s="99">
        <f>X75/H75*3+W75</f>
        <v>166.46</v>
      </c>
      <c r="Z75" s="93">
        <f t="shared" si="20"/>
        <v>0</v>
      </c>
      <c r="AA75" s="5"/>
      <c r="AB75" s="122"/>
    </row>
    <row r="76" spans="1:28" x14ac:dyDescent="0.3">
      <c r="A76" s="85">
        <v>47</v>
      </c>
      <c r="B76" s="57">
        <v>1991</v>
      </c>
      <c r="C76" s="57" t="s">
        <v>15</v>
      </c>
      <c r="D76" s="91" t="s">
        <v>38</v>
      </c>
      <c r="E76" s="86" t="s">
        <v>137</v>
      </c>
      <c r="F76" s="86" t="s">
        <v>7</v>
      </c>
      <c r="G76" s="86">
        <v>10</v>
      </c>
      <c r="H76" s="87">
        <v>3</v>
      </c>
      <c r="I76" s="87">
        <v>1</v>
      </c>
      <c r="J76" s="87">
        <v>3</v>
      </c>
      <c r="K76" s="87"/>
      <c r="L76" s="87">
        <v>32</v>
      </c>
      <c r="M76" s="57">
        <v>101</v>
      </c>
      <c r="N76" s="1">
        <f t="shared" si="21"/>
        <v>1842.5</v>
      </c>
      <c r="O76" s="156">
        <v>1665</v>
      </c>
      <c r="P76" s="89">
        <v>932.5</v>
      </c>
      <c r="Q76" s="225"/>
      <c r="R76" s="226"/>
      <c r="S76" s="228"/>
      <c r="T76" s="226"/>
      <c r="U76" s="226"/>
      <c r="V76" s="6">
        <v>137.1</v>
      </c>
      <c r="W76" s="6">
        <v>40.4</v>
      </c>
      <c r="X76" s="6">
        <f t="shared" si="18"/>
        <v>178.23</v>
      </c>
      <c r="Y76" s="93">
        <f>X76/H76*3+W76</f>
        <v>218.63</v>
      </c>
      <c r="Z76" s="6">
        <f t="shared" si="20"/>
        <v>0</v>
      </c>
      <c r="AA76" s="5">
        <v>28.7</v>
      </c>
      <c r="AB76" s="122"/>
    </row>
    <row r="77" spans="1:28" ht="13.5" thickBot="1" x14ac:dyDescent="0.35">
      <c r="A77" s="85"/>
      <c r="B77" s="57"/>
      <c r="C77" s="57"/>
      <c r="D77" s="91"/>
      <c r="E77" s="87"/>
      <c r="F77" s="87"/>
      <c r="G77" s="87"/>
      <c r="H77" s="87"/>
      <c r="I77" s="86">
        <f t="shared" ref="I77:P77" si="22">SUM(I69:I76)</f>
        <v>8</v>
      </c>
      <c r="J77" s="86">
        <f t="shared" si="22"/>
        <v>17</v>
      </c>
      <c r="K77" s="86">
        <f t="shared" si="22"/>
        <v>0</v>
      </c>
      <c r="L77" s="86">
        <f t="shared" si="22"/>
        <v>151</v>
      </c>
      <c r="M77" s="86">
        <f t="shared" si="22"/>
        <v>487</v>
      </c>
      <c r="N77" s="86">
        <f t="shared" si="22"/>
        <v>9443.5999999999985</v>
      </c>
      <c r="O77" s="49">
        <f t="shared" si="22"/>
        <v>8112.4000000000005</v>
      </c>
      <c r="P77" s="101">
        <f t="shared" si="22"/>
        <v>4604.1000000000004</v>
      </c>
      <c r="Q77" s="230">
        <f>SUM(Q69:Q76,)</f>
        <v>65</v>
      </c>
      <c r="R77" s="230">
        <f>SUM(R69:R76,)</f>
        <v>0</v>
      </c>
      <c r="S77" s="231">
        <f t="shared" ref="S77:AB77" si="23">SUM(S69:S76)</f>
        <v>169.8</v>
      </c>
      <c r="T77" s="231">
        <f t="shared" si="23"/>
        <v>0</v>
      </c>
      <c r="U77" s="231">
        <f t="shared" si="23"/>
        <v>171.1</v>
      </c>
      <c r="V77" s="86">
        <f t="shared" si="23"/>
        <v>669.7</v>
      </c>
      <c r="W77" s="86">
        <f t="shared" si="23"/>
        <v>255.6</v>
      </c>
      <c r="X77" s="49">
        <f t="shared" si="23"/>
        <v>870.61000000000013</v>
      </c>
      <c r="Y77" s="49">
        <f t="shared" si="23"/>
        <v>1126.21</v>
      </c>
      <c r="Z77" s="49">
        <f t="shared" si="23"/>
        <v>0</v>
      </c>
      <c r="AA77" s="102">
        <f t="shared" si="23"/>
        <v>120.2</v>
      </c>
      <c r="AB77" s="172">
        <f t="shared" si="23"/>
        <v>227.9</v>
      </c>
    </row>
    <row r="78" spans="1:28" x14ac:dyDescent="0.3">
      <c r="A78" s="85"/>
      <c r="B78" s="57"/>
      <c r="C78" s="57"/>
      <c r="D78" s="86" t="s">
        <v>43</v>
      </c>
      <c r="E78" s="87"/>
      <c r="F78" s="87"/>
      <c r="G78" s="87"/>
      <c r="H78" s="87"/>
      <c r="I78" s="87"/>
      <c r="J78" s="87"/>
      <c r="K78" s="87"/>
      <c r="L78" s="6"/>
      <c r="M78" s="88"/>
      <c r="N78" s="1"/>
      <c r="O78" s="1"/>
      <c r="P78" s="89"/>
      <c r="Q78" s="225"/>
      <c r="R78" s="226"/>
      <c r="S78" s="226"/>
      <c r="T78" s="226"/>
      <c r="U78" s="226"/>
      <c r="V78" s="6"/>
      <c r="W78" s="6"/>
      <c r="X78" s="6"/>
      <c r="Y78" s="6"/>
      <c r="Z78" s="6"/>
      <c r="AA78" s="94"/>
      <c r="AB78" s="94"/>
    </row>
    <row r="79" spans="1:28" x14ac:dyDescent="0.3">
      <c r="A79" s="85">
        <v>48</v>
      </c>
      <c r="B79" s="57">
        <v>1990</v>
      </c>
      <c r="C79" s="57" t="s">
        <v>15</v>
      </c>
      <c r="D79" s="91" t="s">
        <v>38</v>
      </c>
      <c r="E79" s="86">
        <v>41</v>
      </c>
      <c r="F79" s="86" t="s">
        <v>7</v>
      </c>
      <c r="G79" s="86">
        <v>8</v>
      </c>
      <c r="H79" s="86">
        <v>5</v>
      </c>
      <c r="I79" s="86">
        <v>1</v>
      </c>
      <c r="J79" s="86">
        <v>3</v>
      </c>
      <c r="K79" s="86"/>
      <c r="L79" s="87">
        <v>36</v>
      </c>
      <c r="M79" s="57">
        <v>98</v>
      </c>
      <c r="N79" s="1">
        <f t="shared" ref="N79:N84" si="24">O79+Q79+S79+U79+V79+W79</f>
        <v>2479.0999999999995</v>
      </c>
      <c r="O79" s="1">
        <v>1817.2</v>
      </c>
      <c r="P79" s="89">
        <v>1043.5</v>
      </c>
      <c r="Q79" s="225"/>
      <c r="R79" s="226"/>
      <c r="S79" s="226"/>
      <c r="T79" s="226"/>
      <c r="U79" s="226">
        <f>138.4+56.9+223.2</f>
        <v>418.5</v>
      </c>
      <c r="V79" s="6">
        <v>209.7</v>
      </c>
      <c r="W79" s="6">
        <v>33.700000000000003</v>
      </c>
      <c r="X79" s="6">
        <f t="shared" ref="X79:X84" si="25">V79*1.3</f>
        <v>272.61</v>
      </c>
      <c r="Y79" s="93">
        <f t="shared" ref="Y79:Y84" si="26">X79/H79*3+W79</f>
        <v>197.26600000000002</v>
      </c>
      <c r="Z79" s="93">
        <f t="shared" ref="Z79:Z84" si="27">W79+X79-Y79</f>
        <v>109.04399999999998</v>
      </c>
      <c r="AA79" s="98"/>
      <c r="AB79" s="98"/>
    </row>
    <row r="80" spans="1:28" x14ac:dyDescent="0.3">
      <c r="A80" s="85">
        <f>A79+1</f>
        <v>49</v>
      </c>
      <c r="B80" s="57">
        <v>1990</v>
      </c>
      <c r="C80" s="57" t="s">
        <v>15</v>
      </c>
      <c r="D80" s="91" t="s">
        <v>38</v>
      </c>
      <c r="E80" s="86" t="s">
        <v>44</v>
      </c>
      <c r="F80" s="86" t="s">
        <v>7</v>
      </c>
      <c r="G80" s="86">
        <v>8</v>
      </c>
      <c r="H80" s="86">
        <v>5</v>
      </c>
      <c r="I80" s="86">
        <v>1</v>
      </c>
      <c r="J80" s="86">
        <v>3</v>
      </c>
      <c r="K80" s="86"/>
      <c r="L80" s="87">
        <v>36</v>
      </c>
      <c r="M80" s="57">
        <v>97</v>
      </c>
      <c r="N80" s="1">
        <f t="shared" si="24"/>
        <v>2572.2999999999997</v>
      </c>
      <c r="O80" s="3">
        <f>1816.5</f>
        <v>1816.5</v>
      </c>
      <c r="P80" s="4">
        <f>1047.4+1.9</f>
        <v>1049.3000000000002</v>
      </c>
      <c r="Q80" s="225"/>
      <c r="R80" s="226"/>
      <c r="S80" s="226"/>
      <c r="T80" s="226"/>
      <c r="U80" s="226">
        <f>175.4+237.8</f>
        <v>413.20000000000005</v>
      </c>
      <c r="V80" s="6">
        <v>211</v>
      </c>
      <c r="W80" s="6">
        <v>131.6</v>
      </c>
      <c r="X80" s="6">
        <f t="shared" si="25"/>
        <v>274.3</v>
      </c>
      <c r="Y80" s="93">
        <f t="shared" si="26"/>
        <v>296.17999999999995</v>
      </c>
      <c r="Z80" s="93">
        <f t="shared" si="27"/>
        <v>109.72000000000003</v>
      </c>
      <c r="AA80" s="98"/>
      <c r="AB80" s="98"/>
    </row>
    <row r="81" spans="1:28" x14ac:dyDescent="0.3">
      <c r="A81" s="85">
        <f>A80+1</f>
        <v>50</v>
      </c>
      <c r="B81" s="57">
        <v>1989</v>
      </c>
      <c r="C81" s="57" t="s">
        <v>15</v>
      </c>
      <c r="D81" s="91" t="s">
        <v>38</v>
      </c>
      <c r="E81" s="86" t="s">
        <v>45</v>
      </c>
      <c r="F81" s="86" t="s">
        <v>7</v>
      </c>
      <c r="G81" s="86">
        <v>8</v>
      </c>
      <c r="H81" s="86">
        <v>5</v>
      </c>
      <c r="I81" s="86">
        <v>1</v>
      </c>
      <c r="J81" s="86">
        <v>3</v>
      </c>
      <c r="K81" s="86"/>
      <c r="L81" s="87">
        <v>37</v>
      </c>
      <c r="M81" s="57">
        <v>107</v>
      </c>
      <c r="N81" s="1">
        <f t="shared" si="24"/>
        <v>2489.5000000000005</v>
      </c>
      <c r="O81" s="3">
        <v>2074.8000000000002</v>
      </c>
      <c r="P81" s="4">
        <f>931.9+26.1+2.7+2.8</f>
        <v>963.5</v>
      </c>
      <c r="Q81" s="225"/>
      <c r="R81" s="226"/>
      <c r="S81" s="226"/>
      <c r="T81" s="226"/>
      <c r="U81" s="226">
        <f>67.9+105.5</f>
        <v>173.4</v>
      </c>
      <c r="V81" s="6">
        <v>208</v>
      </c>
      <c r="W81" s="6">
        <v>33.299999999999997</v>
      </c>
      <c r="X81" s="6">
        <f t="shared" si="25"/>
        <v>270.40000000000003</v>
      </c>
      <c r="Y81" s="93">
        <f t="shared" si="26"/>
        <v>195.54000000000002</v>
      </c>
      <c r="Z81" s="93">
        <f t="shared" si="27"/>
        <v>108.16000000000003</v>
      </c>
      <c r="AA81" s="98"/>
      <c r="AB81" s="98"/>
    </row>
    <row r="82" spans="1:28" x14ac:dyDescent="0.3">
      <c r="A82" s="85">
        <f>A81+1</f>
        <v>51</v>
      </c>
      <c r="B82" s="57">
        <v>1995</v>
      </c>
      <c r="C82" s="57" t="s">
        <v>15</v>
      </c>
      <c r="D82" s="91" t="s">
        <v>38</v>
      </c>
      <c r="E82" s="86" t="s">
        <v>33</v>
      </c>
      <c r="F82" s="86" t="s">
        <v>7</v>
      </c>
      <c r="G82" s="86">
        <v>8</v>
      </c>
      <c r="H82" s="86">
        <v>5</v>
      </c>
      <c r="I82" s="86">
        <v>1</v>
      </c>
      <c r="J82" s="86">
        <v>2</v>
      </c>
      <c r="K82" s="86"/>
      <c r="L82" s="87">
        <v>29</v>
      </c>
      <c r="M82" s="57">
        <v>85</v>
      </c>
      <c r="N82" s="1">
        <f t="shared" si="24"/>
        <v>2054.4</v>
      </c>
      <c r="O82" s="1">
        <v>1705.7</v>
      </c>
      <c r="P82" s="89">
        <f>948.2+31-0.1+0.9</f>
        <v>980</v>
      </c>
      <c r="Q82" s="225"/>
      <c r="R82" s="226"/>
      <c r="S82" s="226">
        <v>57.5</v>
      </c>
      <c r="T82" s="226"/>
      <c r="U82" s="226"/>
      <c r="V82" s="6">
        <v>205.6</v>
      </c>
      <c r="W82" s="6">
        <v>85.6</v>
      </c>
      <c r="X82" s="6">
        <f t="shared" si="25"/>
        <v>267.28000000000003</v>
      </c>
      <c r="Y82" s="93">
        <f t="shared" si="26"/>
        <v>245.96799999999999</v>
      </c>
      <c r="Z82" s="93">
        <f t="shared" si="27"/>
        <v>106.91200000000001</v>
      </c>
      <c r="AA82" s="98"/>
      <c r="AB82" s="98">
        <v>51</v>
      </c>
    </row>
    <row r="83" spans="1:28" x14ac:dyDescent="0.3">
      <c r="A83" s="85">
        <f>A82+1</f>
        <v>52</v>
      </c>
      <c r="B83" s="57">
        <v>1990</v>
      </c>
      <c r="C83" s="57" t="s">
        <v>15</v>
      </c>
      <c r="D83" s="91" t="s">
        <v>38</v>
      </c>
      <c r="E83" s="86" t="s">
        <v>46</v>
      </c>
      <c r="F83" s="86" t="s">
        <v>7</v>
      </c>
      <c r="G83" s="86">
        <v>8</v>
      </c>
      <c r="H83" s="86">
        <v>5</v>
      </c>
      <c r="I83" s="86">
        <v>1</v>
      </c>
      <c r="J83" s="86">
        <v>3</v>
      </c>
      <c r="K83" s="86"/>
      <c r="L83" s="87">
        <v>36</v>
      </c>
      <c r="M83" s="57">
        <v>93</v>
      </c>
      <c r="N83" s="1">
        <f t="shared" si="24"/>
        <v>2470.2999999999997</v>
      </c>
      <c r="O83" s="1">
        <v>1893.6</v>
      </c>
      <c r="P83" s="89">
        <f>1043.8-0.5</f>
        <v>1043.3</v>
      </c>
      <c r="Q83" s="225"/>
      <c r="R83" s="226"/>
      <c r="S83" s="226"/>
      <c r="T83" s="226"/>
      <c r="U83" s="226">
        <f>46.2+46.2+46.2+195.5</f>
        <v>334.1</v>
      </c>
      <c r="V83" s="6">
        <v>209.4</v>
      </c>
      <c r="W83" s="6">
        <v>33.200000000000003</v>
      </c>
      <c r="X83" s="6">
        <f t="shared" si="25"/>
        <v>272.22000000000003</v>
      </c>
      <c r="Y83" s="93">
        <f t="shared" si="26"/>
        <v>196.53199999999998</v>
      </c>
      <c r="Z83" s="93">
        <f t="shared" si="27"/>
        <v>108.88800000000003</v>
      </c>
      <c r="AA83" s="98"/>
      <c r="AB83" s="98"/>
    </row>
    <row r="84" spans="1:28" ht="13.5" thickBot="1" x14ac:dyDescent="0.35">
      <c r="A84" s="85">
        <f>A83+1</f>
        <v>53</v>
      </c>
      <c r="B84" s="57">
        <v>1995</v>
      </c>
      <c r="C84" s="57" t="s">
        <v>15</v>
      </c>
      <c r="D84" s="91" t="s">
        <v>38</v>
      </c>
      <c r="E84" s="86">
        <v>45</v>
      </c>
      <c r="F84" s="86" t="s">
        <v>7</v>
      </c>
      <c r="G84" s="86">
        <v>8</v>
      </c>
      <c r="H84" s="86">
        <v>5</v>
      </c>
      <c r="I84" s="86">
        <v>1</v>
      </c>
      <c r="J84" s="86">
        <v>1</v>
      </c>
      <c r="K84" s="86"/>
      <c r="L84" s="87">
        <v>15</v>
      </c>
      <c r="M84" s="57">
        <v>43</v>
      </c>
      <c r="N84" s="1">
        <f t="shared" si="24"/>
        <v>2099.8999999999996</v>
      </c>
      <c r="O84" s="1">
        <f>872.5-Q84+5.9+4.9</f>
        <v>883.3</v>
      </c>
      <c r="P84" s="89">
        <f>516-R84-2.5-0.1</f>
        <v>513.4</v>
      </c>
      <c r="Q84" s="225">
        <f>52.8-52.8</f>
        <v>0</v>
      </c>
      <c r="R84" s="226">
        <f>30.6-30.6</f>
        <v>0</v>
      </c>
      <c r="S84" s="226"/>
      <c r="T84" s="226"/>
      <c r="U84" s="232">
        <f>1034.3+57.6</f>
        <v>1091.8999999999999</v>
      </c>
      <c r="V84" s="6">
        <v>104.5</v>
      </c>
      <c r="W84" s="6">
        <v>20.2</v>
      </c>
      <c r="X84" s="6">
        <f t="shared" si="25"/>
        <v>135.85</v>
      </c>
      <c r="Y84" s="93">
        <f t="shared" si="26"/>
        <v>101.71</v>
      </c>
      <c r="Z84" s="93">
        <f t="shared" si="27"/>
        <v>54.339999999999989</v>
      </c>
      <c r="AA84" s="96"/>
      <c r="AB84" s="96">
        <v>55.2</v>
      </c>
    </row>
    <row r="85" spans="1:28" ht="13.5" thickBot="1" x14ac:dyDescent="0.35">
      <c r="A85" s="85"/>
      <c r="B85" s="57"/>
      <c r="C85" s="57"/>
      <c r="D85" s="91"/>
      <c r="E85" s="87"/>
      <c r="F85" s="87"/>
      <c r="G85" s="87"/>
      <c r="H85" s="87"/>
      <c r="I85" s="86">
        <f>SUM(I79:I84)</f>
        <v>6</v>
      </c>
      <c r="J85" s="86">
        <f t="shared" ref="J85:AB85" si="28">SUM(J79:J84)</f>
        <v>15</v>
      </c>
      <c r="K85" s="86">
        <f t="shared" si="28"/>
        <v>0</v>
      </c>
      <c r="L85" s="86">
        <f>SUM(L79:L84)</f>
        <v>189</v>
      </c>
      <c r="M85" s="86">
        <f>SUM(M79:M84)</f>
        <v>523</v>
      </c>
      <c r="N85" s="86">
        <f>SUM(N79:N84)</f>
        <v>14165.499999999998</v>
      </c>
      <c r="O85" s="86">
        <f>SUM(O79:O84)</f>
        <v>10191.099999999999</v>
      </c>
      <c r="P85" s="101">
        <f>SUM(P79:P84)</f>
        <v>5593</v>
      </c>
      <c r="Q85" s="230">
        <f t="shared" si="28"/>
        <v>0</v>
      </c>
      <c r="R85" s="231">
        <f t="shared" si="28"/>
        <v>0</v>
      </c>
      <c r="S85" s="231">
        <f t="shared" si="28"/>
        <v>57.5</v>
      </c>
      <c r="T85" s="231">
        <f t="shared" si="28"/>
        <v>0</v>
      </c>
      <c r="U85" s="231">
        <f t="shared" si="28"/>
        <v>2431.1</v>
      </c>
      <c r="V85" s="86">
        <f t="shared" si="28"/>
        <v>1148.2</v>
      </c>
      <c r="W85" s="86">
        <f t="shared" si="28"/>
        <v>337.6</v>
      </c>
      <c r="X85" s="86">
        <f t="shared" si="28"/>
        <v>1492.66</v>
      </c>
      <c r="Y85" s="49">
        <f>SUM(Y79:Y84)</f>
        <v>1233.1959999999999</v>
      </c>
      <c r="Z85" s="49">
        <f>SUM(Z79:Z84)</f>
        <v>597.06400000000008</v>
      </c>
      <c r="AA85" s="105">
        <f t="shared" si="28"/>
        <v>0</v>
      </c>
      <c r="AB85" s="105">
        <f t="shared" si="28"/>
        <v>106.2</v>
      </c>
    </row>
    <row r="86" spans="1:28" x14ac:dyDescent="0.3">
      <c r="A86" s="85"/>
      <c r="B86" s="57"/>
      <c r="C86" s="57"/>
      <c r="D86" s="86" t="s">
        <v>47</v>
      </c>
      <c r="E86" s="87"/>
      <c r="F86" s="87"/>
      <c r="G86" s="87"/>
      <c r="H86" s="87"/>
      <c r="I86" s="87"/>
      <c r="J86" s="87"/>
      <c r="K86" s="87"/>
      <c r="L86" s="6"/>
      <c r="M86" s="88"/>
      <c r="N86" s="1"/>
      <c r="O86" s="1"/>
      <c r="P86" s="89"/>
      <c r="Q86" s="225"/>
      <c r="R86" s="226"/>
      <c r="S86" s="226"/>
      <c r="T86" s="226"/>
      <c r="U86" s="226"/>
      <c r="V86" s="6"/>
      <c r="W86" s="6"/>
      <c r="X86" s="6"/>
      <c r="Y86" s="6"/>
      <c r="Z86" s="6"/>
      <c r="AA86" s="94"/>
      <c r="AB86" s="94"/>
    </row>
    <row r="87" spans="1:28" x14ac:dyDescent="0.3">
      <c r="A87" s="85">
        <v>54</v>
      </c>
      <c r="B87" s="57">
        <v>1982</v>
      </c>
      <c r="C87" s="57" t="s">
        <v>15</v>
      </c>
      <c r="D87" s="91" t="s">
        <v>38</v>
      </c>
      <c r="E87" s="86" t="s">
        <v>181</v>
      </c>
      <c r="F87" s="86" t="s">
        <v>146</v>
      </c>
      <c r="G87" s="86">
        <v>12</v>
      </c>
      <c r="H87" s="87">
        <v>3</v>
      </c>
      <c r="I87" s="87">
        <v>1</v>
      </c>
      <c r="J87" s="87">
        <v>1</v>
      </c>
      <c r="K87" s="87"/>
      <c r="L87" s="87">
        <v>6</v>
      </c>
      <c r="M87" s="57">
        <v>25</v>
      </c>
      <c r="N87" s="1">
        <f>O87+Q87+S87+U87+V87+W87</f>
        <v>445.19999999999993</v>
      </c>
      <c r="O87" s="1">
        <f>387.2+2.2</f>
        <v>389.4</v>
      </c>
      <c r="P87" s="89">
        <f>226.7-1.1</f>
        <v>225.6</v>
      </c>
      <c r="Q87" s="225"/>
      <c r="R87" s="226"/>
      <c r="S87" s="228"/>
      <c r="T87" s="226"/>
      <c r="U87" s="226"/>
      <c r="V87" s="6">
        <v>42.4</v>
      </c>
      <c r="W87" s="6">
        <v>13.4</v>
      </c>
      <c r="X87" s="6">
        <f>V87*1.3</f>
        <v>55.12</v>
      </c>
      <c r="Y87" s="6">
        <f>W87+X87</f>
        <v>68.52</v>
      </c>
      <c r="Z87" s="6"/>
      <c r="AA87" s="98"/>
      <c r="AB87" s="98">
        <f>46.8+11.1</f>
        <v>57.9</v>
      </c>
    </row>
    <row r="88" spans="1:28" x14ac:dyDescent="0.3">
      <c r="A88" s="85">
        <f t="shared" ref="A88:A115" si="29">A87+1</f>
        <v>55</v>
      </c>
      <c r="B88" s="57">
        <v>1985</v>
      </c>
      <c r="C88" s="57" t="s">
        <v>15</v>
      </c>
      <c r="D88" s="91" t="s">
        <v>27</v>
      </c>
      <c r="E88" s="86">
        <v>85</v>
      </c>
      <c r="F88" s="86" t="s">
        <v>7</v>
      </c>
      <c r="G88" s="86">
        <v>7</v>
      </c>
      <c r="H88" s="86">
        <v>5</v>
      </c>
      <c r="I88" s="87">
        <v>1</v>
      </c>
      <c r="J88" s="57">
        <v>4</v>
      </c>
      <c r="K88" s="57"/>
      <c r="L88" s="87">
        <v>51</v>
      </c>
      <c r="M88" s="57">
        <v>161</v>
      </c>
      <c r="N88" s="1">
        <f t="shared" ref="N88:N115" si="30">O88+Q88+S88+U88+V88+W88</f>
        <v>3910.2</v>
      </c>
      <c r="O88" s="1">
        <v>3121.9</v>
      </c>
      <c r="P88" s="89">
        <f>1795.3+4.5+3.8</f>
        <v>1803.6</v>
      </c>
      <c r="Q88" s="225"/>
      <c r="R88" s="226"/>
      <c r="S88" s="228">
        <v>87.5</v>
      </c>
      <c r="T88" s="226"/>
      <c r="U88" s="226">
        <v>286.10000000000002</v>
      </c>
      <c r="V88" s="6">
        <v>287.60000000000002</v>
      </c>
      <c r="W88" s="6">
        <v>127.1</v>
      </c>
      <c r="X88" s="6">
        <f t="shared" ref="X88:X115" si="31">V88*1.3</f>
        <v>373.88000000000005</v>
      </c>
      <c r="Y88" s="93">
        <f>X88/H88*3+W88</f>
        <v>351.428</v>
      </c>
      <c r="Z88" s="93">
        <f t="shared" ref="Z88:Z111" si="32">W88+X88-Y88</f>
        <v>149.55200000000002</v>
      </c>
      <c r="AA88" s="98"/>
      <c r="AB88" s="98">
        <v>66.5</v>
      </c>
    </row>
    <row r="89" spans="1:28" x14ac:dyDescent="0.3">
      <c r="A89" s="85">
        <f t="shared" si="29"/>
        <v>56</v>
      </c>
      <c r="B89" s="57">
        <v>1987</v>
      </c>
      <c r="C89" s="57" t="s">
        <v>15</v>
      </c>
      <c r="D89" s="91" t="s">
        <v>27</v>
      </c>
      <c r="E89" s="86" t="s">
        <v>49</v>
      </c>
      <c r="F89" s="86" t="s">
        <v>7</v>
      </c>
      <c r="G89" s="86">
        <v>7</v>
      </c>
      <c r="H89" s="86">
        <v>5</v>
      </c>
      <c r="I89" s="87">
        <v>1</v>
      </c>
      <c r="J89" s="57">
        <v>4</v>
      </c>
      <c r="K89" s="57"/>
      <c r="L89" s="87">
        <v>52</v>
      </c>
      <c r="M89" s="57">
        <v>137</v>
      </c>
      <c r="N89" s="1">
        <f t="shared" si="30"/>
        <v>3899.8</v>
      </c>
      <c r="O89" s="1">
        <v>3158.8</v>
      </c>
      <c r="P89" s="89">
        <f>1782.8-R89-0.1+3.3</f>
        <v>1786</v>
      </c>
      <c r="Q89" s="227"/>
      <c r="R89" s="226"/>
      <c r="S89" s="228"/>
      <c r="T89" s="226"/>
      <c r="U89" s="226">
        <f>173.2+133</f>
        <v>306.2</v>
      </c>
      <c r="V89" s="6">
        <v>314</v>
      </c>
      <c r="W89" s="6">
        <v>120.8</v>
      </c>
      <c r="X89" s="6">
        <f t="shared" si="31"/>
        <v>408.2</v>
      </c>
      <c r="Y89" s="93">
        <f>X89/H89*3+W89</f>
        <v>365.72</v>
      </c>
      <c r="Z89" s="93">
        <f t="shared" si="32"/>
        <v>163.27999999999997</v>
      </c>
      <c r="AA89" s="98"/>
      <c r="AB89" s="98">
        <v>56</v>
      </c>
    </row>
    <row r="90" spans="1:28" x14ac:dyDescent="0.3">
      <c r="A90" s="85">
        <f t="shared" si="29"/>
        <v>57</v>
      </c>
      <c r="B90" s="57">
        <v>1988</v>
      </c>
      <c r="C90" s="57" t="s">
        <v>184</v>
      </c>
      <c r="D90" s="91" t="s">
        <v>38</v>
      </c>
      <c r="E90" s="86">
        <v>18</v>
      </c>
      <c r="F90" s="87" t="s">
        <v>7</v>
      </c>
      <c r="G90" s="86">
        <v>11</v>
      </c>
      <c r="H90" s="87">
        <v>2</v>
      </c>
      <c r="I90" s="86">
        <v>1</v>
      </c>
      <c r="J90" s="87">
        <v>2</v>
      </c>
      <c r="K90" s="87"/>
      <c r="L90" s="57">
        <v>24</v>
      </c>
      <c r="M90" s="57">
        <v>53</v>
      </c>
      <c r="N90" s="1">
        <f t="shared" si="30"/>
        <v>1351.6999999999998</v>
      </c>
      <c r="O90" s="1">
        <v>1096.0999999999999</v>
      </c>
      <c r="P90" s="4">
        <f>590.6-0.9</f>
        <v>589.70000000000005</v>
      </c>
      <c r="Q90" s="225"/>
      <c r="R90" s="226"/>
      <c r="S90" s="226"/>
      <c r="T90" s="226"/>
      <c r="U90" s="226"/>
      <c r="V90" s="6">
        <v>66.8</v>
      </c>
      <c r="W90" s="6">
        <v>188.8</v>
      </c>
      <c r="X90" s="6">
        <f>V90*1.3</f>
        <v>86.84</v>
      </c>
      <c r="Y90" s="93">
        <v>275.64</v>
      </c>
      <c r="Z90" s="93">
        <f>W90+X90-Y90</f>
        <v>0</v>
      </c>
      <c r="AA90" s="5"/>
      <c r="AB90" s="98"/>
    </row>
    <row r="91" spans="1:28" x14ac:dyDescent="0.3">
      <c r="A91" s="85">
        <f t="shared" si="29"/>
        <v>58</v>
      </c>
      <c r="B91" s="57">
        <v>1988</v>
      </c>
      <c r="C91" s="57" t="s">
        <v>15</v>
      </c>
      <c r="D91" s="91" t="s">
        <v>27</v>
      </c>
      <c r="E91" s="86" t="s">
        <v>50</v>
      </c>
      <c r="F91" s="86" t="s">
        <v>146</v>
      </c>
      <c r="G91" s="86">
        <v>6</v>
      </c>
      <c r="H91" s="86">
        <v>5</v>
      </c>
      <c r="I91" s="87">
        <v>1</v>
      </c>
      <c r="J91" s="86">
        <v>1</v>
      </c>
      <c r="K91" s="86"/>
      <c r="L91" s="87">
        <v>18</v>
      </c>
      <c r="M91" s="57">
        <v>34</v>
      </c>
      <c r="N91" s="1">
        <f t="shared" si="30"/>
        <v>939.5</v>
      </c>
      <c r="O91" s="1">
        <f>838.4-1.8-2.2-2.1-0.7</f>
        <v>831.59999999999991</v>
      </c>
      <c r="P91" s="89">
        <f>446.3+1-1.6-1.5-0.3</f>
        <v>443.9</v>
      </c>
      <c r="Q91" s="225"/>
      <c r="R91" s="226"/>
      <c r="S91" s="228"/>
      <c r="T91" s="226"/>
      <c r="U91" s="226"/>
      <c r="V91" s="6">
        <v>105.7</v>
      </c>
      <c r="W91" s="6">
        <v>2.2000000000000002</v>
      </c>
      <c r="X91" s="6">
        <f t="shared" si="31"/>
        <v>137.41</v>
      </c>
      <c r="Y91" s="93">
        <f t="shared" ref="Y91:Y101" si="33">X91/H91*3+W91</f>
        <v>84.646000000000001</v>
      </c>
      <c r="Z91" s="93">
        <f t="shared" si="32"/>
        <v>54.963999999999984</v>
      </c>
      <c r="AA91" s="98"/>
      <c r="AB91" s="98">
        <v>15.2</v>
      </c>
    </row>
    <row r="92" spans="1:28" x14ac:dyDescent="0.3">
      <c r="A92" s="85">
        <f t="shared" si="29"/>
        <v>59</v>
      </c>
      <c r="B92" s="57">
        <v>1987</v>
      </c>
      <c r="C92" s="57" t="s">
        <v>15</v>
      </c>
      <c r="D92" s="91" t="s">
        <v>27</v>
      </c>
      <c r="E92" s="86" t="s">
        <v>51</v>
      </c>
      <c r="F92" s="86" t="s">
        <v>146</v>
      </c>
      <c r="G92" s="86">
        <v>6</v>
      </c>
      <c r="H92" s="86">
        <v>5</v>
      </c>
      <c r="I92" s="87">
        <v>1</v>
      </c>
      <c r="J92" s="86">
        <v>1</v>
      </c>
      <c r="K92" s="86"/>
      <c r="L92" s="87">
        <v>18</v>
      </c>
      <c r="M92" s="57">
        <v>41</v>
      </c>
      <c r="N92" s="1">
        <f t="shared" si="30"/>
        <v>924.9</v>
      </c>
      <c r="O92" s="1">
        <v>821.9</v>
      </c>
      <c r="P92" s="89">
        <f>441.5+0</f>
        <v>441.5</v>
      </c>
      <c r="Q92" s="225"/>
      <c r="R92" s="226"/>
      <c r="S92" s="228"/>
      <c r="T92" s="226"/>
      <c r="U92" s="226"/>
      <c r="V92" s="6">
        <v>100.9</v>
      </c>
      <c r="W92" s="6">
        <v>2.1</v>
      </c>
      <c r="X92" s="6">
        <f t="shared" si="31"/>
        <v>131.17000000000002</v>
      </c>
      <c r="Y92" s="93">
        <f t="shared" si="33"/>
        <v>80.801999999999992</v>
      </c>
      <c r="Z92" s="93">
        <f t="shared" si="32"/>
        <v>52.468000000000018</v>
      </c>
      <c r="AA92" s="98"/>
      <c r="AB92" s="98">
        <v>15.2</v>
      </c>
    </row>
    <row r="93" spans="1:28" x14ac:dyDescent="0.3">
      <c r="A93" s="85">
        <f t="shared" si="29"/>
        <v>60</v>
      </c>
      <c r="B93" s="57">
        <v>1988</v>
      </c>
      <c r="C93" s="57" t="s">
        <v>15</v>
      </c>
      <c r="D93" s="91" t="s">
        <v>27</v>
      </c>
      <c r="E93" s="86" t="s">
        <v>52</v>
      </c>
      <c r="F93" s="86" t="s">
        <v>146</v>
      </c>
      <c r="G93" s="86">
        <v>6</v>
      </c>
      <c r="H93" s="86">
        <v>5</v>
      </c>
      <c r="I93" s="87">
        <v>1</v>
      </c>
      <c r="J93" s="86">
        <v>1</v>
      </c>
      <c r="K93" s="86"/>
      <c r="L93" s="87">
        <v>18</v>
      </c>
      <c r="M93" s="57">
        <v>38</v>
      </c>
      <c r="N93" s="1">
        <f t="shared" si="30"/>
        <v>897.8</v>
      </c>
      <c r="O93" s="1">
        <v>795.4</v>
      </c>
      <c r="P93" s="89">
        <v>427.5</v>
      </c>
      <c r="Q93" s="225"/>
      <c r="R93" s="226"/>
      <c r="S93" s="228"/>
      <c r="T93" s="226"/>
      <c r="U93" s="226"/>
      <c r="V93" s="6">
        <v>100.1</v>
      </c>
      <c r="W93" s="6">
        <v>2.2999999999999998</v>
      </c>
      <c r="X93" s="6">
        <f t="shared" si="31"/>
        <v>130.13</v>
      </c>
      <c r="Y93" s="93">
        <f t="shared" si="33"/>
        <v>80.378</v>
      </c>
      <c r="Z93" s="93">
        <f t="shared" si="32"/>
        <v>52.052000000000007</v>
      </c>
      <c r="AA93" s="98"/>
      <c r="AB93" s="98">
        <v>15.2</v>
      </c>
    </row>
    <row r="94" spans="1:28" x14ac:dyDescent="0.3">
      <c r="A94" s="85">
        <f t="shared" si="29"/>
        <v>61</v>
      </c>
      <c r="B94" s="57">
        <v>1986</v>
      </c>
      <c r="C94" s="57" t="s">
        <v>15</v>
      </c>
      <c r="D94" s="91" t="s">
        <v>27</v>
      </c>
      <c r="E94" s="86">
        <v>93</v>
      </c>
      <c r="F94" s="86" t="s">
        <v>7</v>
      </c>
      <c r="G94" s="86">
        <v>7</v>
      </c>
      <c r="H94" s="86">
        <v>5</v>
      </c>
      <c r="I94" s="87">
        <v>1</v>
      </c>
      <c r="J94" s="86">
        <v>1</v>
      </c>
      <c r="K94" s="86"/>
      <c r="L94" s="87">
        <v>16</v>
      </c>
      <c r="M94" s="57">
        <v>42</v>
      </c>
      <c r="N94" s="1">
        <f t="shared" si="30"/>
        <v>1234.9000000000001</v>
      </c>
      <c r="O94" s="1">
        <v>903</v>
      </c>
      <c r="P94" s="89">
        <f>532.8-0.4-22.6</f>
        <v>509.79999999999995</v>
      </c>
      <c r="Q94" s="225"/>
      <c r="R94" s="226"/>
      <c r="S94" s="228"/>
      <c r="T94" s="226"/>
      <c r="U94" s="226">
        <f>151.5+33.9</f>
        <v>185.4</v>
      </c>
      <c r="V94" s="6">
        <v>85.2</v>
      </c>
      <c r="W94" s="6">
        <v>61.3</v>
      </c>
      <c r="X94" s="6">
        <f t="shared" si="31"/>
        <v>110.76</v>
      </c>
      <c r="Y94" s="93">
        <f t="shared" si="33"/>
        <v>127.756</v>
      </c>
      <c r="Z94" s="93">
        <f t="shared" si="32"/>
        <v>44.304000000000002</v>
      </c>
      <c r="AA94" s="98"/>
      <c r="AB94" s="98">
        <v>20.8</v>
      </c>
    </row>
    <row r="95" spans="1:28" x14ac:dyDescent="0.3">
      <c r="A95" s="85">
        <f t="shared" si="29"/>
        <v>62</v>
      </c>
      <c r="B95" s="57">
        <v>1986</v>
      </c>
      <c r="C95" s="57" t="s">
        <v>15</v>
      </c>
      <c r="D95" s="91" t="s">
        <v>27</v>
      </c>
      <c r="E95" s="86" t="s">
        <v>53</v>
      </c>
      <c r="F95" s="86" t="s">
        <v>7</v>
      </c>
      <c r="G95" s="86">
        <v>7</v>
      </c>
      <c r="H95" s="86">
        <v>5</v>
      </c>
      <c r="I95" s="87">
        <v>1</v>
      </c>
      <c r="J95" s="86">
        <v>4</v>
      </c>
      <c r="K95" s="86"/>
      <c r="L95" s="87">
        <v>54</v>
      </c>
      <c r="M95" s="57">
        <v>157</v>
      </c>
      <c r="N95" s="1">
        <f t="shared" si="30"/>
        <v>3944.5</v>
      </c>
      <c r="O95" s="1">
        <v>3433.3</v>
      </c>
      <c r="P95" s="89">
        <f>2008.6-1.7-1.6</f>
        <v>2005.3</v>
      </c>
      <c r="Q95" s="225"/>
      <c r="R95" s="226"/>
      <c r="S95" s="228">
        <v>87.2</v>
      </c>
      <c r="T95" s="226"/>
      <c r="U95" s="226"/>
      <c r="V95" s="6">
        <v>308.10000000000002</v>
      </c>
      <c r="W95" s="6">
        <v>115.9</v>
      </c>
      <c r="X95" s="6">
        <f t="shared" si="31"/>
        <v>400.53000000000003</v>
      </c>
      <c r="Y95" s="93">
        <f t="shared" si="33"/>
        <v>356.21800000000007</v>
      </c>
      <c r="Z95" s="93">
        <f t="shared" si="32"/>
        <v>160.21199999999999</v>
      </c>
      <c r="AA95" s="98"/>
      <c r="AB95" s="98">
        <v>66.5</v>
      </c>
    </row>
    <row r="96" spans="1:28" x14ac:dyDescent="0.3">
      <c r="A96" s="85">
        <f t="shared" si="29"/>
        <v>63</v>
      </c>
      <c r="B96" s="57">
        <v>1986</v>
      </c>
      <c r="C96" s="57" t="s">
        <v>15</v>
      </c>
      <c r="D96" s="91" t="s">
        <v>27</v>
      </c>
      <c r="E96" s="86" t="s">
        <v>54</v>
      </c>
      <c r="F96" s="86" t="s">
        <v>7</v>
      </c>
      <c r="G96" s="86">
        <v>7</v>
      </c>
      <c r="H96" s="86">
        <v>5</v>
      </c>
      <c r="I96" s="87">
        <v>1</v>
      </c>
      <c r="J96" s="86">
        <v>4</v>
      </c>
      <c r="K96" s="86"/>
      <c r="L96" s="87">
        <v>53</v>
      </c>
      <c r="M96" s="57">
        <v>138</v>
      </c>
      <c r="N96" s="1">
        <f t="shared" si="30"/>
        <v>3756.9</v>
      </c>
      <c r="O96" s="1">
        <v>3300.9</v>
      </c>
      <c r="P96" s="89">
        <f>1883.5-0.6+1.4-3-11.3-0.3</f>
        <v>1869.7000000000003</v>
      </c>
      <c r="Q96" s="225">
        <v>52.7</v>
      </c>
      <c r="R96" s="226"/>
      <c r="S96" s="228"/>
      <c r="T96" s="226"/>
      <c r="U96" s="233">
        <v>163.1</v>
      </c>
      <c r="V96" s="6">
        <v>124.4</v>
      </c>
      <c r="W96" s="6">
        <v>115.8</v>
      </c>
      <c r="X96" s="6">
        <f t="shared" si="31"/>
        <v>161.72</v>
      </c>
      <c r="Y96" s="93">
        <f t="shared" si="33"/>
        <v>212.83199999999999</v>
      </c>
      <c r="Z96" s="93">
        <f t="shared" si="32"/>
        <v>64.687999999999988</v>
      </c>
      <c r="AA96" s="98"/>
      <c r="AB96" s="98">
        <v>56</v>
      </c>
    </row>
    <row r="97" spans="1:28" x14ac:dyDescent="0.3">
      <c r="A97" s="85">
        <f t="shared" si="29"/>
        <v>64</v>
      </c>
      <c r="B97" s="57">
        <v>1987</v>
      </c>
      <c r="C97" s="57" t="s">
        <v>15</v>
      </c>
      <c r="D97" s="91" t="s">
        <v>27</v>
      </c>
      <c r="E97" s="86" t="s">
        <v>55</v>
      </c>
      <c r="F97" s="86" t="s">
        <v>7</v>
      </c>
      <c r="G97" s="86">
        <v>7</v>
      </c>
      <c r="H97" s="86">
        <v>5</v>
      </c>
      <c r="I97" s="87">
        <v>1</v>
      </c>
      <c r="J97" s="86">
        <v>4</v>
      </c>
      <c r="K97" s="86"/>
      <c r="L97" s="87">
        <v>56</v>
      </c>
      <c r="M97" s="57">
        <v>158</v>
      </c>
      <c r="N97" s="1">
        <f t="shared" si="30"/>
        <v>3834</v>
      </c>
      <c r="O97" s="1">
        <v>3452.7</v>
      </c>
      <c r="P97" s="89">
        <f>1957+0.7+1.2</f>
        <v>1958.9</v>
      </c>
      <c r="Q97" s="225"/>
      <c r="R97" s="226"/>
      <c r="S97" s="228"/>
      <c r="T97" s="226"/>
      <c r="U97" s="226"/>
      <c r="V97" s="6">
        <v>237.3</v>
      </c>
      <c r="W97" s="6">
        <v>144</v>
      </c>
      <c r="X97" s="6">
        <f t="shared" si="31"/>
        <v>308.49</v>
      </c>
      <c r="Y97" s="93">
        <f t="shared" si="33"/>
        <v>329.09399999999999</v>
      </c>
      <c r="Z97" s="93">
        <f t="shared" si="32"/>
        <v>123.39600000000002</v>
      </c>
      <c r="AA97" s="98"/>
      <c r="AB97" s="98">
        <v>66.5</v>
      </c>
    </row>
    <row r="98" spans="1:28" x14ac:dyDescent="0.3">
      <c r="A98" s="85">
        <f t="shared" si="29"/>
        <v>65</v>
      </c>
      <c r="B98" s="57">
        <v>1989</v>
      </c>
      <c r="C98" s="57" t="s">
        <v>15</v>
      </c>
      <c r="D98" s="91" t="s">
        <v>56</v>
      </c>
      <c r="E98" s="86">
        <v>45</v>
      </c>
      <c r="F98" s="86" t="s">
        <v>146</v>
      </c>
      <c r="G98" s="86">
        <v>6</v>
      </c>
      <c r="H98" s="86">
        <v>5</v>
      </c>
      <c r="I98" s="87">
        <v>1</v>
      </c>
      <c r="J98" s="86">
        <v>1</v>
      </c>
      <c r="K98" s="86"/>
      <c r="L98" s="87">
        <v>18</v>
      </c>
      <c r="M98" s="57">
        <v>44</v>
      </c>
      <c r="N98" s="1">
        <f t="shared" si="30"/>
        <v>928.8</v>
      </c>
      <c r="O98" s="1">
        <v>825.8</v>
      </c>
      <c r="P98" s="89">
        <f>441.6-0.9</f>
        <v>440.70000000000005</v>
      </c>
      <c r="Q98" s="225"/>
      <c r="R98" s="226"/>
      <c r="S98" s="228"/>
      <c r="T98" s="226"/>
      <c r="U98" s="226"/>
      <c r="V98" s="6">
        <v>100.9</v>
      </c>
      <c r="W98" s="6">
        <v>2.1</v>
      </c>
      <c r="X98" s="6">
        <f t="shared" si="31"/>
        <v>131.17000000000002</v>
      </c>
      <c r="Y98" s="93">
        <f t="shared" si="33"/>
        <v>80.801999999999992</v>
      </c>
      <c r="Z98" s="93">
        <f t="shared" si="32"/>
        <v>52.468000000000018</v>
      </c>
      <c r="AA98" s="98"/>
      <c r="AB98" s="98">
        <v>25.65</v>
      </c>
    </row>
    <row r="99" spans="1:28" x14ac:dyDescent="0.3">
      <c r="A99" s="85">
        <f t="shared" si="29"/>
        <v>66</v>
      </c>
      <c r="B99" s="57">
        <v>1987</v>
      </c>
      <c r="C99" s="57" t="s">
        <v>15</v>
      </c>
      <c r="D99" s="91" t="s">
        <v>56</v>
      </c>
      <c r="E99" s="86">
        <v>47</v>
      </c>
      <c r="F99" s="86" t="s">
        <v>146</v>
      </c>
      <c r="G99" s="86">
        <v>6</v>
      </c>
      <c r="H99" s="86">
        <v>5</v>
      </c>
      <c r="I99" s="87">
        <v>1</v>
      </c>
      <c r="J99" s="86">
        <v>1</v>
      </c>
      <c r="K99" s="86"/>
      <c r="L99" s="87">
        <v>18</v>
      </c>
      <c r="M99" s="57">
        <v>51</v>
      </c>
      <c r="N99" s="1">
        <f t="shared" si="30"/>
        <v>916.1</v>
      </c>
      <c r="O99" s="1">
        <v>812.1</v>
      </c>
      <c r="P99" s="89">
        <f>450.3+0.8</f>
        <v>451.1</v>
      </c>
      <c r="Q99" s="225"/>
      <c r="R99" s="226"/>
      <c r="S99" s="228"/>
      <c r="T99" s="226"/>
      <c r="U99" s="226"/>
      <c r="V99" s="6">
        <v>101.7</v>
      </c>
      <c r="W99" s="6">
        <v>2.2999999999999998</v>
      </c>
      <c r="X99" s="6">
        <f t="shared" si="31"/>
        <v>132.21</v>
      </c>
      <c r="Y99" s="93">
        <f t="shared" si="33"/>
        <v>81.625999999999991</v>
      </c>
      <c r="Z99" s="93">
        <f t="shared" si="32"/>
        <v>52.884000000000029</v>
      </c>
      <c r="AA99" s="98"/>
      <c r="AB99" s="98">
        <v>25.65</v>
      </c>
    </row>
    <row r="100" spans="1:28" x14ac:dyDescent="0.3">
      <c r="A100" s="85">
        <f t="shared" si="29"/>
        <v>67</v>
      </c>
      <c r="B100" s="57">
        <v>1984</v>
      </c>
      <c r="C100" s="57" t="s">
        <v>15</v>
      </c>
      <c r="D100" s="91" t="s">
        <v>56</v>
      </c>
      <c r="E100" s="86">
        <v>49</v>
      </c>
      <c r="F100" s="86" t="s">
        <v>7</v>
      </c>
      <c r="G100" s="86">
        <v>7</v>
      </c>
      <c r="H100" s="86">
        <v>5</v>
      </c>
      <c r="I100" s="87">
        <v>1</v>
      </c>
      <c r="J100" s="86">
        <v>4</v>
      </c>
      <c r="K100" s="86"/>
      <c r="L100" s="87">
        <v>54</v>
      </c>
      <c r="M100" s="57">
        <v>167</v>
      </c>
      <c r="N100" s="1">
        <f t="shared" si="30"/>
        <v>3915.9</v>
      </c>
      <c r="O100" s="1">
        <v>3350.4</v>
      </c>
      <c r="P100" s="89">
        <f>1889.3+0.2-0.2</f>
        <v>1889.3</v>
      </c>
      <c r="Q100" s="225"/>
      <c r="R100" s="226"/>
      <c r="S100" s="228"/>
      <c r="T100" s="226"/>
      <c r="U100" s="226">
        <v>149.4</v>
      </c>
      <c r="V100" s="6">
        <v>284</v>
      </c>
      <c r="W100" s="6">
        <v>132.1</v>
      </c>
      <c r="X100" s="6">
        <f t="shared" si="31"/>
        <v>369.2</v>
      </c>
      <c r="Y100" s="93">
        <f t="shared" si="33"/>
        <v>353.62</v>
      </c>
      <c r="Z100" s="93">
        <f t="shared" si="32"/>
        <v>147.67999999999995</v>
      </c>
      <c r="AA100" s="98"/>
      <c r="AB100" s="98">
        <v>57.05</v>
      </c>
    </row>
    <row r="101" spans="1:28" x14ac:dyDescent="0.3">
      <c r="A101" s="85">
        <f t="shared" si="29"/>
        <v>68</v>
      </c>
      <c r="B101" s="57">
        <v>1988</v>
      </c>
      <c r="C101" s="57" t="s">
        <v>15</v>
      </c>
      <c r="D101" s="91" t="s">
        <v>38</v>
      </c>
      <c r="E101" s="86" t="s">
        <v>138</v>
      </c>
      <c r="F101" s="86" t="s">
        <v>7</v>
      </c>
      <c r="G101" s="86">
        <v>10</v>
      </c>
      <c r="H101" s="86">
        <v>3</v>
      </c>
      <c r="I101" s="87">
        <v>1</v>
      </c>
      <c r="J101" s="86">
        <v>3</v>
      </c>
      <c r="K101" s="86"/>
      <c r="L101" s="87">
        <v>36</v>
      </c>
      <c r="M101" s="57">
        <v>106</v>
      </c>
      <c r="N101" s="1">
        <f t="shared" si="30"/>
        <v>2132.6</v>
      </c>
      <c r="O101" s="1">
        <v>1937.7</v>
      </c>
      <c r="P101" s="89">
        <f>1114.6-0.1</f>
        <v>1114.5</v>
      </c>
      <c r="Q101" s="225"/>
      <c r="R101" s="226"/>
      <c r="S101" s="228"/>
      <c r="T101" s="226"/>
      <c r="U101" s="226"/>
      <c r="V101" s="6">
        <v>116.4</v>
      </c>
      <c r="W101" s="6">
        <v>78.5</v>
      </c>
      <c r="X101" s="6">
        <f t="shared" si="31"/>
        <v>151.32000000000002</v>
      </c>
      <c r="Y101" s="93">
        <f t="shared" si="33"/>
        <v>229.82000000000002</v>
      </c>
      <c r="Z101" s="93">
        <f t="shared" si="32"/>
        <v>0</v>
      </c>
      <c r="AA101" s="94">
        <v>25.4</v>
      </c>
      <c r="AB101" s="94"/>
    </row>
    <row r="102" spans="1:28" x14ac:dyDescent="0.3">
      <c r="A102" s="85">
        <f t="shared" si="29"/>
        <v>69</v>
      </c>
      <c r="B102" s="57">
        <v>1993</v>
      </c>
      <c r="C102" s="57" t="s">
        <v>15</v>
      </c>
      <c r="D102" s="91" t="s">
        <v>56</v>
      </c>
      <c r="E102" s="86">
        <v>11</v>
      </c>
      <c r="F102" s="86" t="s">
        <v>7</v>
      </c>
      <c r="G102" s="86">
        <v>8</v>
      </c>
      <c r="H102" s="86">
        <v>5</v>
      </c>
      <c r="I102" s="87">
        <v>1</v>
      </c>
      <c r="J102" s="86">
        <v>4</v>
      </c>
      <c r="K102" s="86"/>
      <c r="L102" s="87">
        <v>60</v>
      </c>
      <c r="M102" s="57">
        <v>171</v>
      </c>
      <c r="N102" s="1">
        <f t="shared" si="30"/>
        <v>3314.1</v>
      </c>
      <c r="O102" s="1">
        <v>2987.1</v>
      </c>
      <c r="P102" s="89">
        <f>1713.3-0.4-0.1-0.1-0.4-0.2-0.6</f>
        <v>1711.5</v>
      </c>
      <c r="Q102" s="225"/>
      <c r="R102" s="226"/>
      <c r="S102" s="228"/>
      <c r="T102" s="226"/>
      <c r="U102" s="226"/>
      <c r="V102" s="6">
        <v>282.10000000000002</v>
      </c>
      <c r="W102" s="6">
        <v>44.9</v>
      </c>
      <c r="X102" s="6">
        <f t="shared" si="31"/>
        <v>366.73</v>
      </c>
      <c r="Y102" s="93">
        <f>W102+X102</f>
        <v>411.63</v>
      </c>
      <c r="Z102" s="93">
        <f t="shared" si="32"/>
        <v>0</v>
      </c>
      <c r="AA102" s="98">
        <v>59</v>
      </c>
      <c r="AB102" s="98"/>
    </row>
    <row r="103" spans="1:28" x14ac:dyDescent="0.3">
      <c r="A103" s="85">
        <f t="shared" si="29"/>
        <v>70</v>
      </c>
      <c r="B103" s="57">
        <v>1994</v>
      </c>
      <c r="C103" s="57" t="s">
        <v>15</v>
      </c>
      <c r="D103" s="91" t="s">
        <v>56</v>
      </c>
      <c r="E103" s="86" t="s">
        <v>109</v>
      </c>
      <c r="F103" s="86" t="s">
        <v>7</v>
      </c>
      <c r="G103" s="86">
        <v>8</v>
      </c>
      <c r="H103" s="86">
        <v>5</v>
      </c>
      <c r="I103" s="87">
        <v>1</v>
      </c>
      <c r="J103" s="86">
        <v>4</v>
      </c>
      <c r="K103" s="86"/>
      <c r="L103" s="87">
        <v>45</v>
      </c>
      <c r="M103" s="57">
        <v>112</v>
      </c>
      <c r="N103" s="1">
        <f t="shared" si="30"/>
        <v>2504.6</v>
      </c>
      <c r="O103" s="1">
        <v>2255.6</v>
      </c>
      <c r="P103" s="89">
        <f>1307.6-0.6-0.1+0.8-0.6</f>
        <v>1307.1000000000001</v>
      </c>
      <c r="Q103" s="225"/>
      <c r="R103" s="226"/>
      <c r="S103" s="228"/>
      <c r="T103" s="226"/>
      <c r="U103" s="226"/>
      <c r="V103" s="6">
        <v>214.9</v>
      </c>
      <c r="W103" s="6">
        <v>34.1</v>
      </c>
      <c r="X103" s="6">
        <f t="shared" si="31"/>
        <v>279.37</v>
      </c>
      <c r="Y103" s="93">
        <f>W103+X103</f>
        <v>313.47000000000003</v>
      </c>
      <c r="Z103" s="93">
        <f t="shared" si="32"/>
        <v>0</v>
      </c>
      <c r="AA103" s="98">
        <v>44.3</v>
      </c>
      <c r="AB103" s="98"/>
    </row>
    <row r="104" spans="1:28" x14ac:dyDescent="0.3">
      <c r="A104" s="85">
        <f t="shared" si="29"/>
        <v>71</v>
      </c>
      <c r="B104" s="57">
        <v>1988</v>
      </c>
      <c r="C104" s="57" t="s">
        <v>15</v>
      </c>
      <c r="D104" s="91" t="s">
        <v>56</v>
      </c>
      <c r="E104" s="86">
        <v>19</v>
      </c>
      <c r="F104" s="86" t="s">
        <v>7</v>
      </c>
      <c r="G104" s="86">
        <v>10</v>
      </c>
      <c r="H104" s="86">
        <v>3</v>
      </c>
      <c r="I104" s="87">
        <v>1</v>
      </c>
      <c r="J104" s="86">
        <v>2</v>
      </c>
      <c r="K104" s="86"/>
      <c r="L104" s="87">
        <v>20</v>
      </c>
      <c r="M104" s="57">
        <v>50</v>
      </c>
      <c r="N104" s="1">
        <f t="shared" si="30"/>
        <v>1333.1</v>
      </c>
      <c r="O104" s="1">
        <v>1147</v>
      </c>
      <c r="P104" s="89">
        <f>698-1.5</f>
        <v>696.5</v>
      </c>
      <c r="Q104" s="225"/>
      <c r="R104" s="226"/>
      <c r="S104" s="228"/>
      <c r="T104" s="226"/>
      <c r="U104" s="226"/>
      <c r="V104" s="6">
        <v>64.5</v>
      </c>
      <c r="W104" s="6">
        <v>121.6</v>
      </c>
      <c r="X104" s="6">
        <f t="shared" si="31"/>
        <v>83.850000000000009</v>
      </c>
      <c r="Y104" s="93">
        <f>W104+X104</f>
        <v>205.45</v>
      </c>
      <c r="Z104" s="93">
        <f t="shared" si="32"/>
        <v>0</v>
      </c>
      <c r="AA104" s="98">
        <v>38.700000000000003</v>
      </c>
      <c r="AB104" s="98"/>
    </row>
    <row r="105" spans="1:28" x14ac:dyDescent="0.3">
      <c r="A105" s="85">
        <f t="shared" si="29"/>
        <v>72</v>
      </c>
      <c r="B105" s="57">
        <v>1997</v>
      </c>
      <c r="C105" s="57" t="s">
        <v>15</v>
      </c>
      <c r="D105" s="91" t="s">
        <v>56</v>
      </c>
      <c r="E105" s="86" t="s">
        <v>114</v>
      </c>
      <c r="F105" s="86" t="s">
        <v>146</v>
      </c>
      <c r="G105" s="86">
        <v>5</v>
      </c>
      <c r="H105" s="86">
        <v>5</v>
      </c>
      <c r="I105" s="87">
        <v>1</v>
      </c>
      <c r="J105" s="86">
        <v>3</v>
      </c>
      <c r="K105" s="86"/>
      <c r="L105" s="87">
        <v>28</v>
      </c>
      <c r="M105" s="57">
        <v>101</v>
      </c>
      <c r="N105" s="1">
        <f t="shared" si="30"/>
        <v>2331.7999999999997</v>
      </c>
      <c r="O105" s="1">
        <v>1904.6</v>
      </c>
      <c r="P105" s="89">
        <f>1169.9+9.7</f>
        <v>1179.6000000000001</v>
      </c>
      <c r="Q105" s="225"/>
      <c r="R105" s="226"/>
      <c r="S105" s="228"/>
      <c r="T105" s="226"/>
      <c r="U105" s="226">
        <v>157.5</v>
      </c>
      <c r="V105" s="6">
        <v>259.10000000000002</v>
      </c>
      <c r="W105" s="6">
        <v>10.6</v>
      </c>
      <c r="X105" s="6">
        <f t="shared" si="31"/>
        <v>336.83000000000004</v>
      </c>
      <c r="Y105" s="93">
        <f>X105/H105*3+W105</f>
        <v>212.69800000000004</v>
      </c>
      <c r="Z105" s="93">
        <f t="shared" si="32"/>
        <v>134.73200000000003</v>
      </c>
      <c r="AA105" s="98"/>
      <c r="AB105" s="98"/>
    </row>
    <row r="106" spans="1:28" x14ac:dyDescent="0.3">
      <c r="A106" s="85">
        <f t="shared" si="29"/>
        <v>73</v>
      </c>
      <c r="B106" s="57">
        <v>2002</v>
      </c>
      <c r="C106" s="57"/>
      <c r="D106" s="91" t="s">
        <v>56</v>
      </c>
      <c r="E106" s="86" t="s">
        <v>42</v>
      </c>
      <c r="F106" s="86" t="s">
        <v>146</v>
      </c>
      <c r="G106" s="86">
        <v>5</v>
      </c>
      <c r="H106" s="86">
        <v>5</v>
      </c>
      <c r="I106" s="87">
        <v>1</v>
      </c>
      <c r="J106" s="86">
        <v>3</v>
      </c>
      <c r="K106" s="86"/>
      <c r="L106" s="87">
        <v>27</v>
      </c>
      <c r="M106" s="57">
        <v>61</v>
      </c>
      <c r="N106" s="1">
        <f>O106+Q106+S106+U106+V106+W106</f>
        <v>2296.31</v>
      </c>
      <c r="O106" s="1">
        <v>1762.31</v>
      </c>
      <c r="P106" s="106">
        <f>1159.8-267.4+2.6+21.4+51.4+21.4</f>
        <v>989.19999999999993</v>
      </c>
      <c r="Q106" s="225">
        <v>259.7</v>
      </c>
      <c r="R106" s="226"/>
      <c r="S106" s="228"/>
      <c r="T106" s="226"/>
      <c r="U106" s="226"/>
      <c r="V106" s="6">
        <v>262.3</v>
      </c>
      <c r="W106" s="6">
        <v>12</v>
      </c>
      <c r="X106" s="6">
        <f t="shared" si="31"/>
        <v>340.99</v>
      </c>
      <c r="Y106" s="93">
        <f>X106/H106*3</f>
        <v>204.59400000000002</v>
      </c>
      <c r="Z106" s="93">
        <f t="shared" si="32"/>
        <v>148.39599999999999</v>
      </c>
      <c r="AA106" s="98">
        <f>33.1+33.1+33.1+33.1+33.1</f>
        <v>165.5</v>
      </c>
      <c r="AB106" s="98"/>
    </row>
    <row r="107" spans="1:28" x14ac:dyDescent="0.3">
      <c r="A107" s="85">
        <f t="shared" si="29"/>
        <v>74</v>
      </c>
      <c r="B107" s="57">
        <v>2001</v>
      </c>
      <c r="C107" s="57" t="s">
        <v>188</v>
      </c>
      <c r="D107" s="91" t="s">
        <v>56</v>
      </c>
      <c r="E107" s="86" t="s">
        <v>174</v>
      </c>
      <c r="F107" s="86" t="s">
        <v>7</v>
      </c>
      <c r="G107" s="86">
        <v>8</v>
      </c>
      <c r="H107" s="86">
        <v>5</v>
      </c>
      <c r="I107" s="87">
        <v>1</v>
      </c>
      <c r="J107" s="86">
        <v>4</v>
      </c>
      <c r="K107" s="86"/>
      <c r="L107" s="87">
        <v>40</v>
      </c>
      <c r="M107" s="57">
        <v>138</v>
      </c>
      <c r="N107" s="1">
        <f t="shared" si="30"/>
        <v>3176.8</v>
      </c>
      <c r="O107" s="1">
        <v>2854.4</v>
      </c>
      <c r="P107" s="89">
        <v>1829.7</v>
      </c>
      <c r="Q107" s="225"/>
      <c r="R107" s="226"/>
      <c r="S107" s="228"/>
      <c r="T107" s="226"/>
      <c r="U107" s="226"/>
      <c r="V107" s="104">
        <v>278</v>
      </c>
      <c r="W107" s="6">
        <v>44.4</v>
      </c>
      <c r="X107" s="6">
        <f t="shared" si="31"/>
        <v>361.40000000000003</v>
      </c>
      <c r="Y107" s="93">
        <f>X107/H107*3</f>
        <v>216.84</v>
      </c>
      <c r="Z107" s="93">
        <f t="shared" si="32"/>
        <v>188.96</v>
      </c>
      <c r="AA107" s="98">
        <v>48.2</v>
      </c>
      <c r="AB107" s="98"/>
    </row>
    <row r="108" spans="1:28" x14ac:dyDescent="0.3">
      <c r="A108" s="85">
        <f t="shared" si="29"/>
        <v>75</v>
      </c>
      <c r="B108" s="57">
        <v>1988</v>
      </c>
      <c r="C108" s="57" t="s">
        <v>15</v>
      </c>
      <c r="D108" s="91" t="s">
        <v>185</v>
      </c>
      <c r="E108" s="86" t="s">
        <v>190</v>
      </c>
      <c r="F108" s="86" t="s">
        <v>7</v>
      </c>
      <c r="G108" s="86">
        <v>10</v>
      </c>
      <c r="H108" s="86">
        <v>2</v>
      </c>
      <c r="I108" s="87">
        <v>1</v>
      </c>
      <c r="J108" s="86">
        <v>3</v>
      </c>
      <c r="K108" s="86"/>
      <c r="L108" s="87">
        <v>24</v>
      </c>
      <c r="M108" s="57">
        <v>44</v>
      </c>
      <c r="N108" s="1">
        <f t="shared" si="30"/>
        <v>1011.7</v>
      </c>
      <c r="O108" s="1">
        <v>876.4</v>
      </c>
      <c r="P108" s="89">
        <v>440.2</v>
      </c>
      <c r="Q108" s="225"/>
      <c r="R108" s="226"/>
      <c r="S108" s="228"/>
      <c r="T108" s="226"/>
      <c r="U108" s="226"/>
      <c r="V108" s="6">
        <v>109.6</v>
      </c>
      <c r="W108" s="6">
        <v>25.7</v>
      </c>
      <c r="X108" s="6">
        <f t="shared" si="31"/>
        <v>142.47999999999999</v>
      </c>
      <c r="Y108" s="93">
        <f>W108+X108</f>
        <v>168.17999999999998</v>
      </c>
      <c r="Z108" s="93">
        <f t="shared" si="32"/>
        <v>0</v>
      </c>
      <c r="AA108" s="98">
        <v>88.8</v>
      </c>
      <c r="AB108" s="98"/>
    </row>
    <row r="109" spans="1:28" x14ac:dyDescent="0.3">
      <c r="A109" s="85">
        <f t="shared" si="29"/>
        <v>76</v>
      </c>
      <c r="B109" s="57">
        <v>1989</v>
      </c>
      <c r="C109" s="57" t="s">
        <v>15</v>
      </c>
      <c r="D109" s="91" t="s">
        <v>185</v>
      </c>
      <c r="E109" s="86">
        <v>64</v>
      </c>
      <c r="F109" s="86" t="s">
        <v>7</v>
      </c>
      <c r="G109" s="86">
        <v>8</v>
      </c>
      <c r="H109" s="86">
        <v>5</v>
      </c>
      <c r="I109" s="87">
        <v>1</v>
      </c>
      <c r="J109" s="86">
        <v>4</v>
      </c>
      <c r="K109" s="86"/>
      <c r="L109" s="87">
        <v>60</v>
      </c>
      <c r="M109" s="57">
        <v>163</v>
      </c>
      <c r="N109" s="1">
        <f t="shared" si="30"/>
        <v>3236.6</v>
      </c>
      <c r="O109" s="117">
        <v>2912</v>
      </c>
      <c r="P109" s="89">
        <f>1701+0+0.3-10.6-0.5</f>
        <v>1690.2</v>
      </c>
      <c r="Q109" s="225"/>
      <c r="R109" s="226"/>
      <c r="S109" s="228"/>
      <c r="T109" s="226"/>
      <c r="U109" s="226"/>
      <c r="V109" s="6">
        <v>280.60000000000002</v>
      </c>
      <c r="W109" s="6">
        <v>44</v>
      </c>
      <c r="X109" s="6">
        <f t="shared" si="31"/>
        <v>364.78000000000003</v>
      </c>
      <c r="Y109" s="93">
        <f>X109/H109*3+W109</f>
        <v>262.86799999999999</v>
      </c>
      <c r="Z109" s="93">
        <f t="shared" si="32"/>
        <v>145.91200000000003</v>
      </c>
      <c r="AA109" s="98">
        <v>64.7</v>
      </c>
      <c r="AB109" s="98"/>
    </row>
    <row r="110" spans="1:28" x14ac:dyDescent="0.3">
      <c r="A110" s="85">
        <f t="shared" si="29"/>
        <v>77</v>
      </c>
      <c r="B110" s="57">
        <v>1988</v>
      </c>
      <c r="C110" s="57" t="s">
        <v>15</v>
      </c>
      <c r="D110" s="91" t="s">
        <v>185</v>
      </c>
      <c r="E110" s="86" t="s">
        <v>139</v>
      </c>
      <c r="F110" s="86" t="s">
        <v>7</v>
      </c>
      <c r="G110" s="86">
        <v>8</v>
      </c>
      <c r="H110" s="86">
        <v>5</v>
      </c>
      <c r="I110" s="87">
        <v>1</v>
      </c>
      <c r="J110" s="86">
        <v>4</v>
      </c>
      <c r="K110" s="86"/>
      <c r="L110" s="87">
        <v>60</v>
      </c>
      <c r="M110" s="57">
        <v>167</v>
      </c>
      <c r="N110" s="1">
        <f t="shared" si="30"/>
        <v>3264</v>
      </c>
      <c r="O110" s="1">
        <v>2940</v>
      </c>
      <c r="P110" s="89">
        <f>1685+0</f>
        <v>1685</v>
      </c>
      <c r="Q110" s="225"/>
      <c r="R110" s="226"/>
      <c r="S110" s="228"/>
      <c r="T110" s="226"/>
      <c r="U110" s="226"/>
      <c r="V110" s="6">
        <v>279</v>
      </c>
      <c r="W110" s="6">
        <v>45</v>
      </c>
      <c r="X110" s="6">
        <f t="shared" si="31"/>
        <v>362.7</v>
      </c>
      <c r="Y110" s="93">
        <f>X110/H110*3+W110</f>
        <v>262.62</v>
      </c>
      <c r="Z110" s="93">
        <f t="shared" si="32"/>
        <v>145.07999999999998</v>
      </c>
      <c r="AA110" s="98">
        <v>64.7</v>
      </c>
      <c r="AB110" s="98"/>
    </row>
    <row r="111" spans="1:28" x14ac:dyDescent="0.3">
      <c r="A111" s="85">
        <f t="shared" si="29"/>
        <v>78</v>
      </c>
      <c r="B111" s="57">
        <v>1988</v>
      </c>
      <c r="C111" s="57" t="s">
        <v>15</v>
      </c>
      <c r="D111" s="91" t="s">
        <v>185</v>
      </c>
      <c r="E111" s="86">
        <v>70</v>
      </c>
      <c r="F111" s="86" t="s">
        <v>146</v>
      </c>
      <c r="G111" s="86">
        <v>12</v>
      </c>
      <c r="H111" s="86">
        <v>3</v>
      </c>
      <c r="I111" s="87">
        <v>1</v>
      </c>
      <c r="J111" s="86">
        <v>1</v>
      </c>
      <c r="K111" s="86"/>
      <c r="L111" s="87">
        <v>4</v>
      </c>
      <c r="M111" s="57">
        <v>15</v>
      </c>
      <c r="N111" s="1">
        <f t="shared" si="30"/>
        <v>602.09999999999991</v>
      </c>
      <c r="O111" s="1">
        <v>259.7</v>
      </c>
      <c r="P111" s="89">
        <v>152.6</v>
      </c>
      <c r="Q111" s="225"/>
      <c r="R111" s="226"/>
      <c r="S111" s="228"/>
      <c r="T111" s="226"/>
      <c r="U111" s="226">
        <v>269.89999999999998</v>
      </c>
      <c r="V111" s="6">
        <v>47.7</v>
      </c>
      <c r="W111" s="6">
        <v>24.8</v>
      </c>
      <c r="X111" s="6">
        <f t="shared" si="31"/>
        <v>62.010000000000005</v>
      </c>
      <c r="Y111" s="93">
        <f>W111+X111</f>
        <v>86.81</v>
      </c>
      <c r="Z111" s="93">
        <f t="shared" si="32"/>
        <v>0</v>
      </c>
      <c r="AA111" s="98">
        <v>10.5</v>
      </c>
      <c r="AB111" s="98"/>
    </row>
    <row r="112" spans="1:28" x14ac:dyDescent="0.3">
      <c r="A112" s="85">
        <f t="shared" si="29"/>
        <v>79</v>
      </c>
      <c r="B112" s="57">
        <v>1995</v>
      </c>
      <c r="C112" s="57" t="s">
        <v>15</v>
      </c>
      <c r="D112" s="91" t="s">
        <v>185</v>
      </c>
      <c r="E112" s="86" t="s">
        <v>140</v>
      </c>
      <c r="F112" s="86" t="s">
        <v>7</v>
      </c>
      <c r="G112" s="86">
        <v>10</v>
      </c>
      <c r="H112" s="86">
        <v>3</v>
      </c>
      <c r="I112" s="87">
        <v>1</v>
      </c>
      <c r="J112" s="86">
        <v>3</v>
      </c>
      <c r="K112" s="86"/>
      <c r="L112" s="87">
        <v>24</v>
      </c>
      <c r="M112" s="57">
        <v>65</v>
      </c>
      <c r="N112" s="1">
        <f t="shared" si="30"/>
        <v>1454.3000000000002</v>
      </c>
      <c r="O112" s="1">
        <v>1287.4000000000001</v>
      </c>
      <c r="P112" s="89">
        <v>791.3</v>
      </c>
      <c r="Q112" s="225"/>
      <c r="R112" s="226"/>
      <c r="S112" s="228"/>
      <c r="T112" s="226"/>
      <c r="U112" s="226"/>
      <c r="V112" s="6">
        <v>122.4</v>
      </c>
      <c r="W112" s="6">
        <v>44.5</v>
      </c>
      <c r="X112" s="6">
        <f t="shared" si="31"/>
        <v>159.12</v>
      </c>
      <c r="Y112" s="93">
        <f>W112+X112</f>
        <v>203.62</v>
      </c>
      <c r="Z112" s="93">
        <f>W112+X112-Y112</f>
        <v>0</v>
      </c>
      <c r="AA112" s="98">
        <v>33.1</v>
      </c>
      <c r="AB112" s="98"/>
    </row>
    <row r="113" spans="1:28" x14ac:dyDescent="0.3">
      <c r="A113" s="85">
        <f t="shared" si="29"/>
        <v>80</v>
      </c>
      <c r="B113" s="57">
        <v>1986</v>
      </c>
      <c r="C113" s="57" t="s">
        <v>15</v>
      </c>
      <c r="D113" s="91" t="s">
        <v>185</v>
      </c>
      <c r="E113" s="86">
        <v>74</v>
      </c>
      <c r="F113" s="86" t="s">
        <v>146</v>
      </c>
      <c r="G113" s="86">
        <v>12</v>
      </c>
      <c r="H113" s="86">
        <v>3</v>
      </c>
      <c r="I113" s="87">
        <v>1</v>
      </c>
      <c r="J113" s="86">
        <v>1</v>
      </c>
      <c r="K113" s="86"/>
      <c r="L113" s="87">
        <v>4</v>
      </c>
      <c r="M113" s="57">
        <v>12</v>
      </c>
      <c r="N113" s="1">
        <f t="shared" si="30"/>
        <v>441.1</v>
      </c>
      <c r="O113" s="1">
        <v>257.60000000000002</v>
      </c>
      <c r="P113" s="89">
        <v>152</v>
      </c>
      <c r="Q113" s="225"/>
      <c r="R113" s="226"/>
      <c r="S113" s="228"/>
      <c r="T113" s="226"/>
      <c r="U113" s="226">
        <f>61.3+61.2</f>
        <v>122.5</v>
      </c>
      <c r="V113" s="6">
        <v>37.6</v>
      </c>
      <c r="W113" s="6">
        <v>23.4</v>
      </c>
      <c r="X113" s="6">
        <f t="shared" si="31"/>
        <v>48.88</v>
      </c>
      <c r="Y113" s="93">
        <f>W113+X113</f>
        <v>72.28</v>
      </c>
      <c r="Z113" s="93">
        <f>W113+X113-Y113</f>
        <v>0</v>
      </c>
      <c r="AA113" s="98">
        <v>11.4</v>
      </c>
      <c r="AB113" s="98"/>
    </row>
    <row r="114" spans="1:28" x14ac:dyDescent="0.3">
      <c r="A114" s="85">
        <f t="shared" si="29"/>
        <v>81</v>
      </c>
      <c r="B114" s="57">
        <v>1984</v>
      </c>
      <c r="C114" s="57" t="s">
        <v>15</v>
      </c>
      <c r="D114" s="91" t="s">
        <v>185</v>
      </c>
      <c r="E114" s="86" t="s">
        <v>141</v>
      </c>
      <c r="F114" s="86" t="s">
        <v>7</v>
      </c>
      <c r="G114" s="86">
        <v>10</v>
      </c>
      <c r="H114" s="86">
        <v>2</v>
      </c>
      <c r="I114" s="87">
        <v>1</v>
      </c>
      <c r="J114" s="86">
        <v>2</v>
      </c>
      <c r="K114" s="86"/>
      <c r="L114" s="87">
        <v>24</v>
      </c>
      <c r="M114" s="57">
        <v>52</v>
      </c>
      <c r="N114" s="1">
        <f t="shared" si="30"/>
        <v>1192.3999999999999</v>
      </c>
      <c r="O114" s="1">
        <v>1055.0999999999999</v>
      </c>
      <c r="P114" s="89">
        <v>559.1</v>
      </c>
      <c r="Q114" s="225"/>
      <c r="R114" s="226"/>
      <c r="S114" s="228"/>
      <c r="T114" s="226"/>
      <c r="U114" s="226"/>
      <c r="V114" s="6">
        <v>65.2</v>
      </c>
      <c r="W114" s="6">
        <v>72.099999999999994</v>
      </c>
      <c r="X114" s="6">
        <f t="shared" si="31"/>
        <v>84.76</v>
      </c>
      <c r="Y114" s="93">
        <f>W114+X114</f>
        <v>156.86000000000001</v>
      </c>
      <c r="Z114" s="93">
        <f>W114+X114-Y114</f>
        <v>0</v>
      </c>
      <c r="AA114" s="98">
        <v>25.2</v>
      </c>
      <c r="AB114" s="98"/>
    </row>
    <row r="115" spans="1:28" x14ac:dyDescent="0.3">
      <c r="A115" s="85">
        <f t="shared" si="29"/>
        <v>82</v>
      </c>
      <c r="B115" s="57">
        <v>1984</v>
      </c>
      <c r="C115" s="57"/>
      <c r="D115" s="91" t="s">
        <v>56</v>
      </c>
      <c r="E115" s="86">
        <v>51</v>
      </c>
      <c r="F115" s="86" t="s">
        <v>7</v>
      </c>
      <c r="G115" s="86">
        <v>7</v>
      </c>
      <c r="H115" s="86">
        <v>5</v>
      </c>
      <c r="I115" s="87">
        <v>1</v>
      </c>
      <c r="J115" s="86">
        <v>1</v>
      </c>
      <c r="K115" s="86"/>
      <c r="L115" s="87">
        <v>16</v>
      </c>
      <c r="M115" s="57">
        <v>48</v>
      </c>
      <c r="N115" s="1">
        <f t="shared" si="30"/>
        <v>1185</v>
      </c>
      <c r="O115" s="1">
        <v>895.8</v>
      </c>
      <c r="P115" s="89">
        <v>534</v>
      </c>
      <c r="Q115" s="225"/>
      <c r="R115" s="226"/>
      <c r="S115" s="228">
        <v>152.9</v>
      </c>
      <c r="T115" s="226"/>
      <c r="U115" s="226"/>
      <c r="V115" s="6">
        <v>71.5</v>
      </c>
      <c r="W115" s="6">
        <v>64.8</v>
      </c>
      <c r="X115" s="6">
        <f t="shared" si="31"/>
        <v>92.95</v>
      </c>
      <c r="Y115" s="93">
        <f>W115+X115</f>
        <v>157.75</v>
      </c>
      <c r="Z115" s="93">
        <f>W115+X115-Y115</f>
        <v>0</v>
      </c>
      <c r="AA115" s="11"/>
      <c r="AB115" s="11"/>
    </row>
    <row r="116" spans="1:28" ht="13.5" thickBot="1" x14ac:dyDescent="0.35">
      <c r="A116" s="85"/>
      <c r="B116" s="57"/>
      <c r="C116" s="57"/>
      <c r="D116" s="91"/>
      <c r="E116" s="87"/>
      <c r="F116" s="87"/>
      <c r="G116" s="87"/>
      <c r="H116" s="87"/>
      <c r="I116" s="86">
        <f t="shared" ref="I116:P116" si="34">SUM(I87:I115)</f>
        <v>29</v>
      </c>
      <c r="J116" s="86">
        <f t="shared" si="34"/>
        <v>75</v>
      </c>
      <c r="K116" s="86">
        <f t="shared" si="34"/>
        <v>0</v>
      </c>
      <c r="L116" s="86">
        <f t="shared" si="34"/>
        <v>928</v>
      </c>
      <c r="M116" s="86">
        <f t="shared" si="34"/>
        <v>2551</v>
      </c>
      <c r="N116" s="86">
        <f t="shared" si="34"/>
        <v>60376.71</v>
      </c>
      <c r="O116" s="86">
        <f t="shared" si="34"/>
        <v>51626.01</v>
      </c>
      <c r="P116" s="101">
        <f t="shared" si="34"/>
        <v>29675.099999999995</v>
      </c>
      <c r="Q116" s="234">
        <f>SUM(Q87:Q114)</f>
        <v>312.39999999999998</v>
      </c>
      <c r="R116" s="231">
        <f>SUM(R87:R114)</f>
        <v>0</v>
      </c>
      <c r="S116" s="231">
        <f>SUM(S87:S114)</f>
        <v>174.7</v>
      </c>
      <c r="T116" s="231">
        <f>SUM(T87:T114)</f>
        <v>0</v>
      </c>
      <c r="U116" s="231">
        <f>SUM(U87:U114)</f>
        <v>1640.1</v>
      </c>
      <c r="V116" s="86">
        <f>SUM(V87:V115)</f>
        <v>4750</v>
      </c>
      <c r="W116" s="86">
        <f>SUM(W87:W115)</f>
        <v>1720.5999999999997</v>
      </c>
      <c r="X116" s="86">
        <f>SUM(X87:X115)</f>
        <v>6174.9999999999991</v>
      </c>
      <c r="Y116" s="86">
        <f>SUM(Y87:Y115)</f>
        <v>6014.572000000001</v>
      </c>
      <c r="Z116" s="86">
        <f>SUM(Z87:Z115)</f>
        <v>1881.0279999999998</v>
      </c>
      <c r="AA116" s="107">
        <f>SUM(AA87:AA114)</f>
        <v>679.50000000000011</v>
      </c>
      <c r="AB116" s="107">
        <f>SUM(AB87:AB114)</f>
        <v>544.14999999999986</v>
      </c>
    </row>
    <row r="117" spans="1:28" ht="13.5" thickBot="1" x14ac:dyDescent="0.35">
      <c r="A117" s="85"/>
      <c r="B117" s="57"/>
      <c r="C117" s="57"/>
      <c r="D117" s="91"/>
      <c r="E117" s="87"/>
      <c r="F117" s="87"/>
      <c r="G117" s="87"/>
      <c r="H117" s="87"/>
      <c r="I117" s="86"/>
      <c r="J117" s="86"/>
      <c r="K117" s="86"/>
      <c r="L117" s="55"/>
      <c r="M117" s="87"/>
      <c r="N117" s="108"/>
      <c r="O117" s="108"/>
      <c r="P117" s="109"/>
      <c r="Q117" s="230"/>
      <c r="R117" s="231"/>
      <c r="S117" s="231"/>
      <c r="T117" s="231"/>
      <c r="U117" s="231"/>
      <c r="V117" s="86"/>
      <c r="W117" s="86"/>
      <c r="X117" s="86"/>
      <c r="Y117" s="86"/>
      <c r="Z117" s="86"/>
      <c r="AA117" s="107"/>
      <c r="AB117" s="107"/>
    </row>
    <row r="118" spans="1:28" ht="13.5" thickBot="1" x14ac:dyDescent="0.35">
      <c r="A118" s="110"/>
      <c r="B118" s="73"/>
      <c r="C118" s="73"/>
      <c r="D118" s="111" t="s">
        <v>24</v>
      </c>
      <c r="E118" s="86"/>
      <c r="F118" s="86"/>
      <c r="G118" s="86"/>
      <c r="H118" s="86"/>
      <c r="I118" s="108">
        <f t="shared" ref="I118:AB118" si="35">I116+I77</f>
        <v>37</v>
      </c>
      <c r="J118" s="108">
        <f t="shared" si="35"/>
        <v>92</v>
      </c>
      <c r="K118" s="108">
        <f t="shared" si="35"/>
        <v>0</v>
      </c>
      <c r="L118" s="108">
        <f t="shared" si="35"/>
        <v>1079</v>
      </c>
      <c r="M118" s="108">
        <f t="shared" si="35"/>
        <v>3038</v>
      </c>
      <c r="N118" s="108">
        <f t="shared" si="35"/>
        <v>69820.31</v>
      </c>
      <c r="O118" s="108">
        <f t="shared" si="35"/>
        <v>59738.41</v>
      </c>
      <c r="P118" s="108">
        <f t="shared" si="35"/>
        <v>34279.199999999997</v>
      </c>
      <c r="Q118" s="231">
        <f t="shared" si="35"/>
        <v>377.4</v>
      </c>
      <c r="R118" s="231">
        <f t="shared" si="35"/>
        <v>0</v>
      </c>
      <c r="S118" s="231">
        <f t="shared" si="35"/>
        <v>344.5</v>
      </c>
      <c r="T118" s="231">
        <f t="shared" si="35"/>
        <v>0</v>
      </c>
      <c r="U118" s="231">
        <f t="shared" si="35"/>
        <v>1811.1999999999998</v>
      </c>
      <c r="V118" s="108">
        <f t="shared" si="35"/>
        <v>5419.7</v>
      </c>
      <c r="W118" s="108">
        <f t="shared" si="35"/>
        <v>1976.1999999999996</v>
      </c>
      <c r="X118" s="108">
        <f t="shared" si="35"/>
        <v>7045.6099999999988</v>
      </c>
      <c r="Y118" s="108">
        <f t="shared" si="35"/>
        <v>7140.7820000000011</v>
      </c>
      <c r="Z118" s="108">
        <f t="shared" si="35"/>
        <v>1881.0279999999998</v>
      </c>
      <c r="AA118" s="108">
        <f t="shared" si="35"/>
        <v>799.70000000000016</v>
      </c>
      <c r="AB118" s="108">
        <f t="shared" si="35"/>
        <v>772.04999999999984</v>
      </c>
    </row>
    <row r="119" spans="1:28" x14ac:dyDescent="0.3">
      <c r="A119" s="85"/>
      <c r="B119" s="57"/>
      <c r="C119" s="57"/>
      <c r="D119" s="86" t="s">
        <v>60</v>
      </c>
      <c r="E119" s="87"/>
      <c r="F119" s="87"/>
      <c r="G119" s="87"/>
      <c r="H119" s="87"/>
      <c r="I119" s="87"/>
      <c r="J119" s="87"/>
      <c r="K119" s="87"/>
      <c r="L119" s="6"/>
      <c r="M119" s="73"/>
      <c r="N119" s="1"/>
      <c r="O119" s="1"/>
      <c r="P119" s="89"/>
      <c r="Q119" s="225"/>
      <c r="R119" s="226"/>
      <c r="S119" s="226"/>
      <c r="T119" s="226"/>
      <c r="U119" s="226"/>
      <c r="V119" s="6"/>
      <c r="W119" s="6"/>
      <c r="X119" s="6"/>
      <c r="Y119" s="6"/>
      <c r="Z119" s="6"/>
      <c r="AA119" s="115"/>
      <c r="AB119" s="116"/>
    </row>
    <row r="120" spans="1:28" x14ac:dyDescent="0.3">
      <c r="A120" s="85">
        <v>83</v>
      </c>
      <c r="B120" s="57">
        <v>1989</v>
      </c>
      <c r="C120" s="57" t="s">
        <v>61</v>
      </c>
      <c r="D120" s="91" t="s">
        <v>10</v>
      </c>
      <c r="E120" s="86">
        <v>78</v>
      </c>
      <c r="F120" s="87" t="s">
        <v>7</v>
      </c>
      <c r="G120" s="86">
        <v>3</v>
      </c>
      <c r="H120" s="86">
        <v>9</v>
      </c>
      <c r="I120" s="86">
        <v>1</v>
      </c>
      <c r="J120" s="86">
        <v>1</v>
      </c>
      <c r="K120" s="86"/>
      <c r="L120" s="57">
        <f>9+96</f>
        <v>105</v>
      </c>
      <c r="M120" s="57">
        <v>262</v>
      </c>
      <c r="N120" s="117">
        <f>O120+Q120+S120+U120+V120+W120</f>
        <v>6246.9999999999991</v>
      </c>
      <c r="O120" s="117">
        <v>4538.8999999999996</v>
      </c>
      <c r="P120" s="4">
        <f>2541.6+25.6-25.5-0.1-0.2</f>
        <v>2541.4</v>
      </c>
      <c r="Q120" s="225"/>
      <c r="R120" s="226"/>
      <c r="S120" s="226">
        <f>73.1+44.8+44.2+16.5+15.4+15.4</f>
        <v>209.4</v>
      </c>
      <c r="T120" s="226"/>
      <c r="U120" s="226"/>
      <c r="V120" s="6">
        <v>137.69999999999999</v>
      </c>
      <c r="W120" s="6">
        <v>1361</v>
      </c>
      <c r="X120" s="6">
        <f t="shared" ref="X120:X148" si="36">V120*1.3</f>
        <v>179.01</v>
      </c>
      <c r="Y120" s="93">
        <f>W120/H120*4+X120/H120*4</f>
        <v>684.44888888888886</v>
      </c>
      <c r="Z120" s="93">
        <f t="shared" ref="Z120:Z148" si="37">W120+X120-Y120</f>
        <v>855.56111111111113</v>
      </c>
      <c r="AA120" s="95"/>
      <c r="AB120" s="94">
        <v>75.599999999999994</v>
      </c>
    </row>
    <row r="121" spans="1:28" x14ac:dyDescent="0.3">
      <c r="A121" s="85">
        <f t="shared" ref="A121:A148" si="38">A120+1</f>
        <v>84</v>
      </c>
      <c r="B121" s="57">
        <v>1990</v>
      </c>
      <c r="C121" s="57" t="s">
        <v>62</v>
      </c>
      <c r="D121" s="91" t="s">
        <v>10</v>
      </c>
      <c r="E121" s="86" t="s">
        <v>63</v>
      </c>
      <c r="F121" s="87" t="s">
        <v>7</v>
      </c>
      <c r="G121" s="86">
        <v>3</v>
      </c>
      <c r="H121" s="86">
        <v>9</v>
      </c>
      <c r="I121" s="86">
        <v>1</v>
      </c>
      <c r="J121" s="86">
        <v>1</v>
      </c>
      <c r="K121" s="86"/>
      <c r="L121" s="57">
        <v>108</v>
      </c>
      <c r="M121" s="57">
        <v>279</v>
      </c>
      <c r="N121" s="1">
        <f>O121+Q121+S121+U121+V121+W121</f>
        <v>6226.7000000000007</v>
      </c>
      <c r="O121" s="1">
        <v>4731.8</v>
      </c>
      <c r="P121" s="4">
        <f>2699.2-0.3-0.5</f>
        <v>2698.3999999999996</v>
      </c>
      <c r="Q121" s="225"/>
      <c r="R121" s="226"/>
      <c r="S121" s="226"/>
      <c r="T121" s="226"/>
      <c r="U121" s="226"/>
      <c r="V121" s="6">
        <v>138</v>
      </c>
      <c r="W121" s="6">
        <v>1356.9</v>
      </c>
      <c r="X121" s="6">
        <f t="shared" si="36"/>
        <v>179.4</v>
      </c>
      <c r="Y121" s="93">
        <f>W121/H121*4+X121/H121*4</f>
        <v>682.80000000000007</v>
      </c>
      <c r="Z121" s="93">
        <f t="shared" si="37"/>
        <v>853.50000000000011</v>
      </c>
      <c r="AA121" s="5"/>
      <c r="AB121" s="98">
        <v>81</v>
      </c>
    </row>
    <row r="122" spans="1:28" x14ac:dyDescent="0.3">
      <c r="A122" s="85">
        <f t="shared" si="38"/>
        <v>85</v>
      </c>
      <c r="B122" s="57">
        <v>1990</v>
      </c>
      <c r="C122" s="57" t="s">
        <v>64</v>
      </c>
      <c r="D122" s="91" t="s">
        <v>10</v>
      </c>
      <c r="E122" s="86">
        <v>80</v>
      </c>
      <c r="F122" s="87" t="s">
        <v>7</v>
      </c>
      <c r="G122" s="86">
        <v>3</v>
      </c>
      <c r="H122" s="86">
        <v>9</v>
      </c>
      <c r="I122" s="86">
        <v>1</v>
      </c>
      <c r="J122" s="86">
        <v>1</v>
      </c>
      <c r="K122" s="86"/>
      <c r="L122" s="57">
        <v>108</v>
      </c>
      <c r="M122" s="57">
        <v>299</v>
      </c>
      <c r="N122" s="1">
        <f>O122+Q122+S122+U122+V122+W122</f>
        <v>6342.1</v>
      </c>
      <c r="O122" s="1">
        <v>4775.7</v>
      </c>
      <c r="P122" s="4">
        <v>2729.1</v>
      </c>
      <c r="Q122" s="225"/>
      <c r="R122" s="226"/>
      <c r="S122" s="226">
        <v>44.1</v>
      </c>
      <c r="T122" s="226"/>
      <c r="U122" s="226"/>
      <c r="V122" s="6">
        <v>137.69999999999999</v>
      </c>
      <c r="W122" s="6">
        <v>1384.6</v>
      </c>
      <c r="X122" s="6">
        <f t="shared" si="36"/>
        <v>179.01</v>
      </c>
      <c r="Y122" s="93">
        <f>W122/H122*4+X122/H122*4</f>
        <v>694.93777777777768</v>
      </c>
      <c r="Z122" s="93">
        <f t="shared" si="37"/>
        <v>868.67222222222222</v>
      </c>
      <c r="AA122" s="5"/>
      <c r="AB122" s="98">
        <v>81</v>
      </c>
    </row>
    <row r="123" spans="1:28" x14ac:dyDescent="0.3">
      <c r="A123" s="85">
        <f t="shared" si="38"/>
        <v>86</v>
      </c>
      <c r="B123" s="57">
        <v>1989</v>
      </c>
      <c r="C123" s="57" t="s">
        <v>65</v>
      </c>
      <c r="D123" s="91" t="s">
        <v>10</v>
      </c>
      <c r="E123" s="86">
        <v>88</v>
      </c>
      <c r="F123" s="87" t="s">
        <v>7</v>
      </c>
      <c r="G123" s="86">
        <v>3</v>
      </c>
      <c r="H123" s="86">
        <v>9</v>
      </c>
      <c r="I123" s="86">
        <v>1</v>
      </c>
      <c r="J123" s="86">
        <v>1</v>
      </c>
      <c r="K123" s="86"/>
      <c r="L123" s="57">
        <v>104</v>
      </c>
      <c r="M123" s="57">
        <v>303</v>
      </c>
      <c r="N123" s="1">
        <f>O123+Q123+S123+U123+V123+W123</f>
        <v>6356.5999999999995</v>
      </c>
      <c r="O123" s="1">
        <v>4638.8999999999996</v>
      </c>
      <c r="P123" s="4">
        <f>2573.6+0.2-0.1-0.1+0.1-0.4-1.1</f>
        <v>2572.1999999999998</v>
      </c>
      <c r="Q123" s="225"/>
      <c r="R123" s="226"/>
      <c r="S123" s="226">
        <v>210.3</v>
      </c>
      <c r="T123" s="226"/>
      <c r="U123" s="226"/>
      <c r="V123" s="6">
        <v>138.4</v>
      </c>
      <c r="W123" s="6">
        <v>1369</v>
      </c>
      <c r="X123" s="6">
        <f t="shared" si="36"/>
        <v>179.92000000000002</v>
      </c>
      <c r="Y123" s="93">
        <f>W123/H123*4+X123/H123*4</f>
        <v>688.4088888888889</v>
      </c>
      <c r="Z123" s="93">
        <f t="shared" si="37"/>
        <v>860.51111111111118</v>
      </c>
      <c r="AA123" s="5"/>
      <c r="AB123" s="98">
        <v>81</v>
      </c>
    </row>
    <row r="124" spans="1:28" x14ac:dyDescent="0.3">
      <c r="A124" s="85">
        <f t="shared" si="38"/>
        <v>87</v>
      </c>
      <c r="B124" s="57">
        <v>1985</v>
      </c>
      <c r="C124" s="57" t="s">
        <v>58</v>
      </c>
      <c r="D124" s="91" t="s">
        <v>10</v>
      </c>
      <c r="E124" s="86">
        <v>82</v>
      </c>
      <c r="F124" s="87" t="s">
        <v>7</v>
      </c>
      <c r="G124" s="87">
        <v>8</v>
      </c>
      <c r="H124" s="87">
        <v>5</v>
      </c>
      <c r="I124" s="86">
        <v>1</v>
      </c>
      <c r="J124" s="87">
        <v>8</v>
      </c>
      <c r="K124" s="87"/>
      <c r="L124" s="57">
        <v>120</v>
      </c>
      <c r="M124" s="57">
        <v>291</v>
      </c>
      <c r="N124" s="1">
        <f>O124+Q124+S124+U124+V124+W124</f>
        <v>6567.9</v>
      </c>
      <c r="O124" s="1">
        <v>5911.6</v>
      </c>
      <c r="P124" s="4">
        <f>3402.3+0.2-18</f>
        <v>3384.5</v>
      </c>
      <c r="Q124" s="225"/>
      <c r="R124" s="226"/>
      <c r="S124" s="226"/>
      <c r="T124" s="226"/>
      <c r="U124" s="226"/>
      <c r="V124" s="6">
        <v>567.4</v>
      </c>
      <c r="W124" s="55">
        <f>88.9+17.5-17.5</f>
        <v>88.9</v>
      </c>
      <c r="X124" s="6">
        <f t="shared" si="36"/>
        <v>737.62</v>
      </c>
      <c r="Y124" s="93">
        <f t="shared" ref="Y124:Y147" si="39">X124/H124*3+W124</f>
        <v>531.47199999999998</v>
      </c>
      <c r="Z124" s="93">
        <f t="shared" si="37"/>
        <v>295.048</v>
      </c>
      <c r="AA124" s="5"/>
      <c r="AB124" s="98">
        <v>115.2</v>
      </c>
    </row>
    <row r="125" spans="1:28" x14ac:dyDescent="0.3">
      <c r="A125" s="85">
        <f t="shared" si="38"/>
        <v>88</v>
      </c>
      <c r="B125" s="57">
        <v>1985</v>
      </c>
      <c r="C125" s="57" t="s">
        <v>58</v>
      </c>
      <c r="D125" s="91" t="s">
        <v>10</v>
      </c>
      <c r="E125" s="86" t="s">
        <v>66</v>
      </c>
      <c r="F125" s="87" t="s">
        <v>7</v>
      </c>
      <c r="G125" s="87">
        <v>8</v>
      </c>
      <c r="H125" s="87">
        <v>5</v>
      </c>
      <c r="I125" s="86">
        <v>1</v>
      </c>
      <c r="J125" s="87">
        <v>4</v>
      </c>
      <c r="K125" s="87"/>
      <c r="L125" s="57">
        <v>60</v>
      </c>
      <c r="M125" s="57">
        <v>142</v>
      </c>
      <c r="N125" s="1">
        <f t="shared" ref="N125:N148" si="40">O125+Q125+S125+U125+V125+W125</f>
        <v>3301.8</v>
      </c>
      <c r="O125" s="1">
        <v>2976.4</v>
      </c>
      <c r="P125" s="4">
        <f>1722.3-0.2-0.5+3.5</f>
        <v>1725.1</v>
      </c>
      <c r="Q125" s="225"/>
      <c r="R125" s="226"/>
      <c r="S125" s="226"/>
      <c r="T125" s="226"/>
      <c r="U125" s="226"/>
      <c r="V125" s="6">
        <v>281.10000000000002</v>
      </c>
      <c r="W125" s="6">
        <v>44.3</v>
      </c>
      <c r="X125" s="6">
        <f t="shared" si="36"/>
        <v>365.43000000000006</v>
      </c>
      <c r="Y125" s="93">
        <f t="shared" si="39"/>
        <v>263.55800000000005</v>
      </c>
      <c r="Z125" s="93">
        <f t="shared" si="37"/>
        <v>146.17200000000003</v>
      </c>
      <c r="AA125" s="5"/>
      <c r="AB125" s="98">
        <v>57.6</v>
      </c>
    </row>
    <row r="126" spans="1:28" x14ac:dyDescent="0.3">
      <c r="A126" s="85">
        <f t="shared" si="38"/>
        <v>89</v>
      </c>
      <c r="B126" s="57">
        <v>1986</v>
      </c>
      <c r="C126" s="57" t="s">
        <v>14</v>
      </c>
      <c r="D126" s="91" t="s">
        <v>10</v>
      </c>
      <c r="E126" s="86" t="s">
        <v>67</v>
      </c>
      <c r="F126" s="87" t="s">
        <v>7</v>
      </c>
      <c r="G126" s="87">
        <v>8</v>
      </c>
      <c r="H126" s="87">
        <v>5</v>
      </c>
      <c r="I126" s="86">
        <v>1</v>
      </c>
      <c r="J126" s="87">
        <v>7</v>
      </c>
      <c r="K126" s="87"/>
      <c r="L126" s="57">
        <v>69</v>
      </c>
      <c r="M126" s="57">
        <v>227</v>
      </c>
      <c r="N126" s="1">
        <f t="shared" si="40"/>
        <v>5566.2999999999993</v>
      </c>
      <c r="O126" s="1">
        <f>4920</f>
        <v>4920</v>
      </c>
      <c r="P126" s="4">
        <f>3177.5+3.1</f>
        <v>3180.6</v>
      </c>
      <c r="Q126" s="225"/>
      <c r="R126" s="226"/>
      <c r="S126" s="226">
        <v>78.900000000000006</v>
      </c>
      <c r="T126" s="226"/>
      <c r="U126" s="226"/>
      <c r="V126" s="6">
        <v>490.2</v>
      </c>
      <c r="W126" s="6">
        <v>77.2</v>
      </c>
      <c r="X126" s="6">
        <f t="shared" si="36"/>
        <v>637.26</v>
      </c>
      <c r="Y126" s="93">
        <f t="shared" si="39"/>
        <v>459.55599999999998</v>
      </c>
      <c r="Z126" s="93">
        <f t="shared" si="37"/>
        <v>254.90400000000005</v>
      </c>
      <c r="AA126" s="5"/>
      <c r="AB126" s="98">
        <v>67.2</v>
      </c>
    </row>
    <row r="127" spans="1:28" x14ac:dyDescent="0.3">
      <c r="A127" s="85">
        <f t="shared" si="38"/>
        <v>90</v>
      </c>
      <c r="B127" s="57">
        <v>1986</v>
      </c>
      <c r="C127" s="57" t="s">
        <v>14</v>
      </c>
      <c r="D127" s="91" t="s">
        <v>10</v>
      </c>
      <c r="E127" s="86">
        <v>84</v>
      </c>
      <c r="F127" s="87" t="s">
        <v>7</v>
      </c>
      <c r="G127" s="87">
        <v>8</v>
      </c>
      <c r="H127" s="87">
        <v>5</v>
      </c>
      <c r="I127" s="86">
        <v>1</v>
      </c>
      <c r="J127" s="87">
        <v>8</v>
      </c>
      <c r="K127" s="87"/>
      <c r="L127" s="57">
        <v>119</v>
      </c>
      <c r="M127" s="57">
        <v>337</v>
      </c>
      <c r="N127" s="1">
        <f t="shared" si="40"/>
        <v>6600.0999999999995</v>
      </c>
      <c r="O127" s="1">
        <v>5892.5</v>
      </c>
      <c r="P127" s="4">
        <f>3402.6-0.3-0.4</f>
        <v>3401.8999999999996</v>
      </c>
      <c r="Q127" s="225"/>
      <c r="R127" s="226"/>
      <c r="S127" s="226">
        <v>51.5</v>
      </c>
      <c r="T127" s="226"/>
      <c r="U127" s="226"/>
      <c r="V127" s="6">
        <v>567.4</v>
      </c>
      <c r="W127" s="6">
        <v>88.7</v>
      </c>
      <c r="X127" s="6">
        <f t="shared" si="36"/>
        <v>737.62</v>
      </c>
      <c r="Y127" s="93">
        <f t="shared" si="39"/>
        <v>531.27200000000005</v>
      </c>
      <c r="Z127" s="93">
        <f t="shared" si="37"/>
        <v>295.048</v>
      </c>
      <c r="AA127" s="5"/>
      <c r="AB127" s="98">
        <v>115.2</v>
      </c>
    </row>
    <row r="128" spans="1:28" x14ac:dyDescent="0.3">
      <c r="A128" s="85">
        <f t="shared" si="38"/>
        <v>91</v>
      </c>
      <c r="B128" s="57">
        <v>1986</v>
      </c>
      <c r="C128" s="57" t="s">
        <v>14</v>
      </c>
      <c r="D128" s="91" t="s">
        <v>10</v>
      </c>
      <c r="E128" s="86" t="s">
        <v>68</v>
      </c>
      <c r="F128" s="87" t="s">
        <v>7</v>
      </c>
      <c r="G128" s="87">
        <v>8</v>
      </c>
      <c r="H128" s="87">
        <v>5</v>
      </c>
      <c r="I128" s="86">
        <v>1</v>
      </c>
      <c r="J128" s="87">
        <v>5</v>
      </c>
      <c r="K128" s="87"/>
      <c r="L128" s="57">
        <v>75</v>
      </c>
      <c r="M128" s="57">
        <v>202</v>
      </c>
      <c r="N128" s="1">
        <f t="shared" si="40"/>
        <v>4122</v>
      </c>
      <c r="O128" s="1">
        <v>3727.2</v>
      </c>
      <c r="P128" s="4">
        <v>2141.4</v>
      </c>
      <c r="Q128" s="225"/>
      <c r="R128" s="226"/>
      <c r="S128" s="226"/>
      <c r="T128" s="226"/>
      <c r="U128" s="226"/>
      <c r="V128" s="6">
        <v>347.4</v>
      </c>
      <c r="W128" s="6">
        <v>47.4</v>
      </c>
      <c r="X128" s="6">
        <f t="shared" si="36"/>
        <v>451.62</v>
      </c>
      <c r="Y128" s="93">
        <f t="shared" si="39"/>
        <v>318.37199999999996</v>
      </c>
      <c r="Z128" s="93">
        <f t="shared" si="37"/>
        <v>180.64800000000002</v>
      </c>
      <c r="AA128" s="5"/>
      <c r="AB128" s="98">
        <v>72</v>
      </c>
    </row>
    <row r="129" spans="1:28" x14ac:dyDescent="0.3">
      <c r="A129" s="85">
        <f t="shared" si="38"/>
        <v>92</v>
      </c>
      <c r="B129" s="57">
        <v>1986</v>
      </c>
      <c r="C129" s="57" t="s">
        <v>15</v>
      </c>
      <c r="D129" s="91" t="s">
        <v>10</v>
      </c>
      <c r="E129" s="86">
        <v>86</v>
      </c>
      <c r="F129" s="87" t="s">
        <v>7</v>
      </c>
      <c r="G129" s="87">
        <v>8</v>
      </c>
      <c r="H129" s="87">
        <v>5</v>
      </c>
      <c r="I129" s="86">
        <v>1</v>
      </c>
      <c r="J129" s="87">
        <v>8</v>
      </c>
      <c r="K129" s="87"/>
      <c r="L129" s="57">
        <v>120</v>
      </c>
      <c r="M129" s="57">
        <v>323</v>
      </c>
      <c r="N129" s="1">
        <f t="shared" si="40"/>
        <v>6610.21</v>
      </c>
      <c r="O129" s="1">
        <v>5940.5</v>
      </c>
      <c r="P129" s="4">
        <f>3418.8+0-0.3-0.4-0.3</f>
        <v>3417.7999999999997</v>
      </c>
      <c r="Q129" s="225"/>
      <c r="R129" s="226"/>
      <c r="S129" s="226"/>
      <c r="T129" s="226"/>
      <c r="U129" s="226"/>
      <c r="V129" s="6">
        <v>564.21</v>
      </c>
      <c r="W129" s="6">
        <v>105.5</v>
      </c>
      <c r="X129" s="6">
        <f t="shared" si="36"/>
        <v>733.47300000000007</v>
      </c>
      <c r="Y129" s="93">
        <f t="shared" si="39"/>
        <v>545.5838</v>
      </c>
      <c r="Z129" s="93">
        <f t="shared" si="37"/>
        <v>293.38920000000007</v>
      </c>
      <c r="AA129" s="5"/>
      <c r="AB129" s="98">
        <v>115.2</v>
      </c>
    </row>
    <row r="130" spans="1:28" x14ac:dyDescent="0.3">
      <c r="A130" s="85">
        <f t="shared" si="38"/>
        <v>93</v>
      </c>
      <c r="B130" s="57">
        <v>1986</v>
      </c>
      <c r="C130" s="57" t="s">
        <v>69</v>
      </c>
      <c r="D130" s="91" t="s">
        <v>38</v>
      </c>
      <c r="E130" s="86">
        <v>36</v>
      </c>
      <c r="F130" s="87" t="s">
        <v>7</v>
      </c>
      <c r="G130" s="87">
        <v>8</v>
      </c>
      <c r="H130" s="87">
        <v>5</v>
      </c>
      <c r="I130" s="86">
        <v>1</v>
      </c>
      <c r="J130" s="87">
        <v>8</v>
      </c>
      <c r="K130" s="87"/>
      <c r="L130" s="57">
        <v>80</v>
      </c>
      <c r="M130" s="57">
        <v>277</v>
      </c>
      <c r="N130" s="1">
        <f t="shared" si="40"/>
        <v>6512.8</v>
      </c>
      <c r="O130" s="117">
        <v>5649.3</v>
      </c>
      <c r="P130" s="118">
        <f>3654.5-0.4+0.5-1.6-0.5+0.6-0.2-0.3-0.4</f>
        <v>3652.2</v>
      </c>
      <c r="Q130" s="225"/>
      <c r="R130" s="226"/>
      <c r="S130" s="226">
        <f>79.7+55.6+76.7</f>
        <v>212</v>
      </c>
      <c r="T130" s="226"/>
      <c r="U130" s="226"/>
      <c r="V130" s="6">
        <v>563.1</v>
      </c>
      <c r="W130" s="6">
        <v>88.4</v>
      </c>
      <c r="X130" s="6">
        <f t="shared" si="36"/>
        <v>732.03000000000009</v>
      </c>
      <c r="Y130" s="93">
        <f t="shared" si="39"/>
        <v>527.61800000000005</v>
      </c>
      <c r="Z130" s="93">
        <f t="shared" si="37"/>
        <v>292.81200000000001</v>
      </c>
      <c r="AA130" s="5"/>
      <c r="AB130" s="98">
        <v>76.8</v>
      </c>
    </row>
    <row r="131" spans="1:28" x14ac:dyDescent="0.3">
      <c r="A131" s="85">
        <f t="shared" si="38"/>
        <v>94</v>
      </c>
      <c r="B131" s="57">
        <v>1986</v>
      </c>
      <c r="C131" s="57" t="s">
        <v>69</v>
      </c>
      <c r="D131" s="91" t="s">
        <v>38</v>
      </c>
      <c r="E131" s="86" t="s">
        <v>34</v>
      </c>
      <c r="F131" s="87" t="s">
        <v>7</v>
      </c>
      <c r="G131" s="87">
        <v>8</v>
      </c>
      <c r="H131" s="87">
        <v>5</v>
      </c>
      <c r="I131" s="86">
        <v>1</v>
      </c>
      <c r="J131" s="87">
        <v>3</v>
      </c>
      <c r="K131" s="87"/>
      <c r="L131" s="57">
        <v>45</v>
      </c>
      <c r="M131" s="57">
        <v>123</v>
      </c>
      <c r="N131" s="1">
        <f t="shared" si="40"/>
        <v>2347.1</v>
      </c>
      <c r="O131" s="117">
        <v>2230</v>
      </c>
      <c r="P131" s="4">
        <v>1281</v>
      </c>
      <c r="Q131" s="225"/>
      <c r="R131" s="226"/>
      <c r="S131" s="226"/>
      <c r="T131" s="226"/>
      <c r="U131" s="226"/>
      <c r="V131" s="6">
        <v>83.9</v>
      </c>
      <c r="W131" s="6">
        <v>33.200000000000003</v>
      </c>
      <c r="X131" s="6">
        <f t="shared" si="36"/>
        <v>109.07000000000001</v>
      </c>
      <c r="Y131" s="93">
        <f t="shared" si="39"/>
        <v>98.64200000000001</v>
      </c>
      <c r="Z131" s="93">
        <f t="shared" si="37"/>
        <v>43.628</v>
      </c>
      <c r="AA131" s="5"/>
      <c r="AB131" s="98">
        <v>43.2</v>
      </c>
    </row>
    <row r="132" spans="1:28" x14ac:dyDescent="0.3">
      <c r="A132" s="85">
        <f t="shared" si="38"/>
        <v>95</v>
      </c>
      <c r="B132" s="57">
        <v>1987</v>
      </c>
      <c r="C132" s="57" t="s">
        <v>59</v>
      </c>
      <c r="D132" s="91" t="s">
        <v>38</v>
      </c>
      <c r="E132" s="86" t="s">
        <v>70</v>
      </c>
      <c r="F132" s="87" t="s">
        <v>7</v>
      </c>
      <c r="G132" s="87">
        <v>8</v>
      </c>
      <c r="H132" s="87">
        <v>5</v>
      </c>
      <c r="I132" s="86">
        <v>1</v>
      </c>
      <c r="J132" s="87">
        <v>5</v>
      </c>
      <c r="K132" s="87"/>
      <c r="L132" s="57">
        <v>75</v>
      </c>
      <c r="M132" s="57">
        <v>220</v>
      </c>
      <c r="N132" s="1">
        <f t="shared" si="40"/>
        <v>3995.4</v>
      </c>
      <c r="O132" s="156">
        <v>3657.9</v>
      </c>
      <c r="P132" s="168">
        <f>2108.4+0.1+0.2-11.3+1.3</f>
        <v>2098.6999999999998</v>
      </c>
      <c r="Q132" s="225"/>
      <c r="R132" s="226"/>
      <c r="S132" s="226"/>
      <c r="T132" s="226"/>
      <c r="U132" s="226"/>
      <c r="V132" s="6">
        <v>283</v>
      </c>
      <c r="W132" s="6">
        <v>54.5</v>
      </c>
      <c r="X132" s="6">
        <f t="shared" si="36"/>
        <v>367.90000000000003</v>
      </c>
      <c r="Y132" s="93">
        <f t="shared" si="39"/>
        <v>275.24</v>
      </c>
      <c r="Z132" s="93">
        <f t="shared" si="37"/>
        <v>147.16000000000003</v>
      </c>
      <c r="AA132" s="5"/>
      <c r="AB132" s="98">
        <v>72</v>
      </c>
    </row>
    <row r="133" spans="1:28" x14ac:dyDescent="0.3">
      <c r="A133" s="85">
        <f t="shared" si="38"/>
        <v>96</v>
      </c>
      <c r="B133" s="57">
        <v>1987</v>
      </c>
      <c r="C133" s="57" t="s">
        <v>59</v>
      </c>
      <c r="D133" s="91" t="s">
        <v>38</v>
      </c>
      <c r="E133" s="86">
        <v>38</v>
      </c>
      <c r="F133" s="87" t="s">
        <v>7</v>
      </c>
      <c r="G133" s="87">
        <v>8</v>
      </c>
      <c r="H133" s="87">
        <v>5</v>
      </c>
      <c r="I133" s="86">
        <v>1</v>
      </c>
      <c r="J133" s="87">
        <v>4</v>
      </c>
      <c r="K133" s="87"/>
      <c r="L133" s="57">
        <v>39</v>
      </c>
      <c r="M133" s="57">
        <v>164</v>
      </c>
      <c r="N133" s="1">
        <f t="shared" si="40"/>
        <v>3152.7000000000003</v>
      </c>
      <c r="O133" s="1">
        <v>2765.5</v>
      </c>
      <c r="P133" s="4">
        <f>1787.1+0</f>
        <v>1787.1</v>
      </c>
      <c r="Q133" s="225"/>
      <c r="R133" s="226"/>
      <c r="S133" s="226"/>
      <c r="T133" s="226"/>
      <c r="U133" s="226">
        <v>59.8</v>
      </c>
      <c r="V133" s="6">
        <v>283</v>
      </c>
      <c r="W133" s="6">
        <v>44.4</v>
      </c>
      <c r="X133" s="6">
        <f t="shared" si="36"/>
        <v>367.90000000000003</v>
      </c>
      <c r="Y133" s="93">
        <f t="shared" si="39"/>
        <v>265.14000000000004</v>
      </c>
      <c r="Z133" s="93">
        <f t="shared" si="37"/>
        <v>147.15999999999997</v>
      </c>
      <c r="AA133" s="5"/>
      <c r="AB133" s="98">
        <v>38.4</v>
      </c>
    </row>
    <row r="134" spans="1:28" x14ac:dyDescent="0.3">
      <c r="A134" s="85">
        <f t="shared" si="38"/>
        <v>97</v>
      </c>
      <c r="B134" s="57">
        <v>1986</v>
      </c>
      <c r="C134" s="57" t="s">
        <v>15</v>
      </c>
      <c r="D134" s="91" t="s">
        <v>38</v>
      </c>
      <c r="E134" s="86" t="s">
        <v>71</v>
      </c>
      <c r="F134" s="87" t="s">
        <v>7</v>
      </c>
      <c r="G134" s="87">
        <v>8</v>
      </c>
      <c r="H134" s="87">
        <v>5</v>
      </c>
      <c r="I134" s="86">
        <v>1</v>
      </c>
      <c r="J134" s="87">
        <v>7</v>
      </c>
      <c r="K134" s="87"/>
      <c r="L134" s="57">
        <v>95</v>
      </c>
      <c r="M134" s="57">
        <v>255</v>
      </c>
      <c r="N134" s="1">
        <f t="shared" si="40"/>
        <v>5656.3000000000011</v>
      </c>
      <c r="O134" s="1">
        <v>4681.1000000000004</v>
      </c>
      <c r="P134" s="89">
        <f>2738.06-40+0.2-0.8-0.3-3.7</f>
        <v>2693.4599999999996</v>
      </c>
      <c r="Q134" s="225"/>
      <c r="R134" s="226"/>
      <c r="S134" s="232">
        <v>65</v>
      </c>
      <c r="T134" s="232"/>
      <c r="U134" s="226">
        <f>168+154.3</f>
        <v>322.3</v>
      </c>
      <c r="V134" s="6">
        <v>495.1</v>
      </c>
      <c r="W134" s="6">
        <v>92.8</v>
      </c>
      <c r="X134" s="6">
        <f t="shared" si="36"/>
        <v>643.63</v>
      </c>
      <c r="Y134" s="93">
        <f t="shared" si="39"/>
        <v>478.97800000000001</v>
      </c>
      <c r="Z134" s="93">
        <f t="shared" si="37"/>
        <v>257.45199999999994</v>
      </c>
      <c r="AA134" s="5"/>
      <c r="AB134" s="98">
        <v>100.8</v>
      </c>
    </row>
    <row r="135" spans="1:28" x14ac:dyDescent="0.3">
      <c r="A135" s="85">
        <f t="shared" si="38"/>
        <v>98</v>
      </c>
      <c r="B135" s="57">
        <v>1987</v>
      </c>
      <c r="C135" s="57" t="s">
        <v>15</v>
      </c>
      <c r="D135" s="91" t="s">
        <v>38</v>
      </c>
      <c r="E135" s="86" t="s">
        <v>72</v>
      </c>
      <c r="F135" s="87" t="s">
        <v>7</v>
      </c>
      <c r="G135" s="87">
        <v>8</v>
      </c>
      <c r="H135" s="87">
        <v>5</v>
      </c>
      <c r="I135" s="86">
        <v>1</v>
      </c>
      <c r="J135" s="87">
        <v>4</v>
      </c>
      <c r="K135" s="87"/>
      <c r="L135" s="57">
        <v>60</v>
      </c>
      <c r="M135" s="57">
        <v>160</v>
      </c>
      <c r="N135" s="1">
        <f t="shared" si="40"/>
        <v>3294.2</v>
      </c>
      <c r="O135" s="117">
        <v>2969</v>
      </c>
      <c r="P135" s="118">
        <f>1714.1+0-0.1-0.6</f>
        <v>1713.4</v>
      </c>
      <c r="Q135" s="225"/>
      <c r="R135" s="226"/>
      <c r="S135" s="226"/>
      <c r="T135" s="226"/>
      <c r="U135" s="226"/>
      <c r="V135" s="6">
        <v>280.60000000000002</v>
      </c>
      <c r="W135" s="6">
        <v>44.6</v>
      </c>
      <c r="X135" s="6">
        <f t="shared" si="36"/>
        <v>364.78000000000003</v>
      </c>
      <c r="Y135" s="93">
        <f t="shared" si="39"/>
        <v>263.46800000000002</v>
      </c>
      <c r="Z135" s="93">
        <f t="shared" si="37"/>
        <v>145.91200000000003</v>
      </c>
      <c r="AA135" s="5"/>
      <c r="AB135" s="98">
        <v>57.6</v>
      </c>
    </row>
    <row r="136" spans="1:28" x14ac:dyDescent="0.3">
      <c r="A136" s="85">
        <f t="shared" si="38"/>
        <v>99</v>
      </c>
      <c r="B136" s="57">
        <v>1987</v>
      </c>
      <c r="C136" s="57" t="s">
        <v>73</v>
      </c>
      <c r="D136" s="91" t="s">
        <v>38</v>
      </c>
      <c r="E136" s="86" t="s">
        <v>74</v>
      </c>
      <c r="F136" s="87" t="s">
        <v>7</v>
      </c>
      <c r="G136" s="87">
        <v>8</v>
      </c>
      <c r="H136" s="87">
        <v>5</v>
      </c>
      <c r="I136" s="86">
        <v>1</v>
      </c>
      <c r="J136" s="87">
        <v>7</v>
      </c>
      <c r="K136" s="87"/>
      <c r="L136" s="57">
        <v>105</v>
      </c>
      <c r="M136" s="57">
        <v>246</v>
      </c>
      <c r="N136" s="1">
        <f t="shared" si="40"/>
        <v>5764.4</v>
      </c>
      <c r="O136" s="117">
        <v>5193</v>
      </c>
      <c r="P136" s="118">
        <f>2980.3-0.2-0.1</f>
        <v>2980.0000000000005</v>
      </c>
      <c r="Q136" s="225"/>
      <c r="R136" s="226"/>
      <c r="S136" s="226"/>
      <c r="T136" s="226"/>
      <c r="U136" s="226"/>
      <c r="V136" s="6">
        <v>492.7</v>
      </c>
      <c r="W136" s="6">
        <v>78.7</v>
      </c>
      <c r="X136" s="6">
        <f t="shared" si="36"/>
        <v>640.51</v>
      </c>
      <c r="Y136" s="93">
        <f t="shared" si="39"/>
        <v>463.00600000000003</v>
      </c>
      <c r="Z136" s="93">
        <f t="shared" si="37"/>
        <v>256.20400000000001</v>
      </c>
      <c r="AA136" s="5"/>
      <c r="AB136" s="98">
        <v>100.8</v>
      </c>
    </row>
    <row r="137" spans="1:28" x14ac:dyDescent="0.3">
      <c r="A137" s="85">
        <f t="shared" si="38"/>
        <v>100</v>
      </c>
      <c r="B137" s="57">
        <v>1987</v>
      </c>
      <c r="C137" s="57" t="s">
        <v>59</v>
      </c>
      <c r="D137" s="91" t="s">
        <v>38</v>
      </c>
      <c r="E137" s="86" t="s">
        <v>189</v>
      </c>
      <c r="F137" s="87" t="s">
        <v>7</v>
      </c>
      <c r="G137" s="87">
        <v>8</v>
      </c>
      <c r="H137" s="87">
        <v>5</v>
      </c>
      <c r="I137" s="86">
        <v>1</v>
      </c>
      <c r="J137" s="87">
        <v>5</v>
      </c>
      <c r="K137" s="87"/>
      <c r="L137" s="57">
        <v>49</v>
      </c>
      <c r="M137" s="57">
        <v>184</v>
      </c>
      <c r="N137" s="1">
        <f t="shared" si="40"/>
        <v>3916.3</v>
      </c>
      <c r="O137" s="117">
        <v>3460.3</v>
      </c>
      <c r="P137" s="4">
        <f>2212.7-0.1-30.5-3.8</f>
        <v>2178.2999999999997</v>
      </c>
      <c r="Q137" s="225"/>
      <c r="R137" s="226"/>
      <c r="S137" s="226">
        <v>52.4</v>
      </c>
      <c r="T137" s="226"/>
      <c r="U137" s="226"/>
      <c r="V137" s="6">
        <v>348.5</v>
      </c>
      <c r="W137" s="6">
        <v>55.1</v>
      </c>
      <c r="X137" s="6">
        <f t="shared" si="36"/>
        <v>453.05</v>
      </c>
      <c r="Y137" s="93">
        <f t="shared" si="39"/>
        <v>326.93</v>
      </c>
      <c r="Z137" s="93">
        <f t="shared" si="37"/>
        <v>181.22000000000003</v>
      </c>
      <c r="AA137" s="5"/>
      <c r="AB137" s="98">
        <v>48</v>
      </c>
    </row>
    <row r="138" spans="1:28" x14ac:dyDescent="0.3">
      <c r="A138" s="85">
        <f t="shared" si="38"/>
        <v>101</v>
      </c>
      <c r="B138" s="57">
        <v>1987</v>
      </c>
      <c r="C138" s="57" t="s">
        <v>59</v>
      </c>
      <c r="D138" s="91" t="s">
        <v>38</v>
      </c>
      <c r="E138" s="86" t="s">
        <v>75</v>
      </c>
      <c r="F138" s="87" t="s">
        <v>7</v>
      </c>
      <c r="G138" s="87">
        <v>8</v>
      </c>
      <c r="H138" s="87">
        <v>5</v>
      </c>
      <c r="I138" s="86">
        <v>1</v>
      </c>
      <c r="J138" s="87">
        <v>7</v>
      </c>
      <c r="K138" s="87"/>
      <c r="L138" s="57">
        <v>105</v>
      </c>
      <c r="M138" s="57">
        <v>285</v>
      </c>
      <c r="N138" s="1">
        <f t="shared" si="40"/>
        <v>5754.4</v>
      </c>
      <c r="O138" s="1">
        <v>5170.6000000000004</v>
      </c>
      <c r="P138" s="118">
        <f>2979.5-0.5-0.7-0.2-0.1</f>
        <v>2978.0000000000005</v>
      </c>
      <c r="Q138" s="225"/>
      <c r="R138" s="226"/>
      <c r="S138" s="226"/>
      <c r="T138" s="226"/>
      <c r="U138" s="226"/>
      <c r="V138" s="6">
        <v>493.4</v>
      </c>
      <c r="W138" s="6">
        <v>90.4</v>
      </c>
      <c r="X138" s="6">
        <f t="shared" si="36"/>
        <v>641.41999999999996</v>
      </c>
      <c r="Y138" s="93">
        <f t="shared" si="39"/>
        <v>475.25199999999995</v>
      </c>
      <c r="Z138" s="93">
        <f t="shared" si="37"/>
        <v>256.56799999999998</v>
      </c>
      <c r="AA138" s="5"/>
      <c r="AB138" s="98">
        <v>100.8</v>
      </c>
    </row>
    <row r="139" spans="1:28" x14ac:dyDescent="0.3">
      <c r="A139" s="85">
        <f t="shared" si="38"/>
        <v>102</v>
      </c>
      <c r="B139" s="57">
        <v>1987</v>
      </c>
      <c r="C139" s="57" t="s">
        <v>59</v>
      </c>
      <c r="D139" s="91" t="s">
        <v>38</v>
      </c>
      <c r="E139" s="86" t="s">
        <v>76</v>
      </c>
      <c r="F139" s="87" t="s">
        <v>7</v>
      </c>
      <c r="G139" s="87">
        <v>8</v>
      </c>
      <c r="H139" s="87">
        <v>5</v>
      </c>
      <c r="I139" s="86">
        <v>1</v>
      </c>
      <c r="J139" s="87">
        <v>3</v>
      </c>
      <c r="K139" s="87"/>
      <c r="L139" s="57">
        <v>45</v>
      </c>
      <c r="M139" s="57">
        <v>125</v>
      </c>
      <c r="N139" s="1">
        <f t="shared" si="40"/>
        <v>2469.3000000000002</v>
      </c>
      <c r="O139" s="1">
        <v>2225.3000000000002</v>
      </c>
      <c r="P139" s="4">
        <v>1281.5999999999999</v>
      </c>
      <c r="Q139" s="225"/>
      <c r="R139" s="226"/>
      <c r="S139" s="226"/>
      <c r="T139" s="226"/>
      <c r="U139" s="226"/>
      <c r="V139" s="6">
        <v>210.7</v>
      </c>
      <c r="W139" s="6">
        <v>33.299999999999997</v>
      </c>
      <c r="X139" s="6">
        <f t="shared" si="36"/>
        <v>273.90999999999997</v>
      </c>
      <c r="Y139" s="93">
        <f t="shared" si="39"/>
        <v>197.64600000000002</v>
      </c>
      <c r="Z139" s="93">
        <f t="shared" si="37"/>
        <v>109.56399999999996</v>
      </c>
      <c r="AA139" s="5"/>
      <c r="AB139" s="98">
        <v>43.2</v>
      </c>
    </row>
    <row r="140" spans="1:28" s="58" customFormat="1" x14ac:dyDescent="0.3">
      <c r="A140" s="85">
        <f t="shared" si="38"/>
        <v>103</v>
      </c>
      <c r="B140" s="57">
        <v>1987</v>
      </c>
      <c r="C140" s="57" t="s">
        <v>59</v>
      </c>
      <c r="D140" s="91" t="s">
        <v>77</v>
      </c>
      <c r="E140" s="86">
        <v>3</v>
      </c>
      <c r="F140" s="87" t="s">
        <v>7</v>
      </c>
      <c r="G140" s="87">
        <v>8</v>
      </c>
      <c r="H140" s="87">
        <v>5</v>
      </c>
      <c r="I140" s="86">
        <v>1</v>
      </c>
      <c r="J140" s="87">
        <v>6</v>
      </c>
      <c r="K140" s="87"/>
      <c r="L140" s="57">
        <f>90-1-1</f>
        <v>88</v>
      </c>
      <c r="M140" s="57">
        <v>230</v>
      </c>
      <c r="N140" s="1">
        <f t="shared" si="40"/>
        <v>5014.3</v>
      </c>
      <c r="O140" s="1">
        <v>4402.6000000000004</v>
      </c>
      <c r="P140" s="118">
        <f>2589.7-2.4-17.7-29.2</f>
        <v>2540.4</v>
      </c>
      <c r="Q140" s="225"/>
      <c r="R140" s="226"/>
      <c r="S140" s="226">
        <f>48.1+38.6</f>
        <v>86.7</v>
      </c>
      <c r="T140" s="226"/>
      <c r="U140" s="226"/>
      <c r="V140" s="6">
        <v>427.1</v>
      </c>
      <c r="W140" s="6">
        <v>97.9</v>
      </c>
      <c r="X140" s="6">
        <f t="shared" si="36"/>
        <v>555.23</v>
      </c>
      <c r="Y140" s="93">
        <f t="shared" si="39"/>
        <v>431.03800000000001</v>
      </c>
      <c r="Z140" s="93">
        <f t="shared" si="37"/>
        <v>222.09199999999998</v>
      </c>
      <c r="AA140" s="5"/>
      <c r="AB140" s="98">
        <v>86.4</v>
      </c>
    </row>
    <row r="141" spans="1:28" x14ac:dyDescent="0.3">
      <c r="A141" s="85">
        <f t="shared" si="38"/>
        <v>104</v>
      </c>
      <c r="B141" s="57">
        <v>1987</v>
      </c>
      <c r="C141" s="57" t="s">
        <v>73</v>
      </c>
      <c r="D141" s="91" t="s">
        <v>77</v>
      </c>
      <c r="E141" s="86">
        <v>7</v>
      </c>
      <c r="F141" s="87" t="s">
        <v>7</v>
      </c>
      <c r="G141" s="87">
        <v>8</v>
      </c>
      <c r="H141" s="87">
        <v>5</v>
      </c>
      <c r="I141" s="86">
        <v>1</v>
      </c>
      <c r="J141" s="87">
        <v>9</v>
      </c>
      <c r="K141" s="87"/>
      <c r="L141" s="57">
        <v>135</v>
      </c>
      <c r="M141" s="57">
        <v>333</v>
      </c>
      <c r="N141" s="1">
        <f t="shared" si="40"/>
        <v>7354.4</v>
      </c>
      <c r="O141" s="1">
        <v>6610.8</v>
      </c>
      <c r="P141" s="118">
        <f>3795.7-0.1+0.9</f>
        <v>3796.5</v>
      </c>
      <c r="Q141" s="225"/>
      <c r="R141" s="226"/>
      <c r="S141" s="226"/>
      <c r="T141" s="226"/>
      <c r="U141" s="226"/>
      <c r="V141" s="6">
        <v>634.70000000000005</v>
      </c>
      <c r="W141" s="6">
        <v>108.9</v>
      </c>
      <c r="X141" s="6">
        <f t="shared" si="36"/>
        <v>825.11000000000013</v>
      </c>
      <c r="Y141" s="93">
        <f t="shared" si="39"/>
        <v>603.96600000000001</v>
      </c>
      <c r="Z141" s="93">
        <f t="shared" si="37"/>
        <v>330.0440000000001</v>
      </c>
      <c r="AA141" s="5"/>
      <c r="AB141" s="98">
        <v>129.6</v>
      </c>
    </row>
    <row r="142" spans="1:28" x14ac:dyDescent="0.3">
      <c r="A142" s="85">
        <f t="shared" si="38"/>
        <v>105</v>
      </c>
      <c r="B142" s="57">
        <v>1987</v>
      </c>
      <c r="C142" s="57" t="s">
        <v>73</v>
      </c>
      <c r="D142" s="91" t="s">
        <v>77</v>
      </c>
      <c r="E142" s="86" t="s">
        <v>78</v>
      </c>
      <c r="F142" s="87" t="s">
        <v>7</v>
      </c>
      <c r="G142" s="87">
        <v>8</v>
      </c>
      <c r="H142" s="87">
        <v>5</v>
      </c>
      <c r="I142" s="86">
        <v>1</v>
      </c>
      <c r="J142" s="87">
        <v>4</v>
      </c>
      <c r="K142" s="87"/>
      <c r="L142" s="57">
        <v>60</v>
      </c>
      <c r="M142" s="57">
        <v>126</v>
      </c>
      <c r="N142" s="1">
        <f t="shared" si="40"/>
        <v>3198.7999999999997</v>
      </c>
      <c r="O142" s="1">
        <f>2931+0.1-0.4+0.2</f>
        <v>2930.8999999999996</v>
      </c>
      <c r="P142" s="118">
        <f>1697.5+0.2-0.2+0.2</f>
        <v>1697.7</v>
      </c>
      <c r="Q142" s="225"/>
      <c r="R142" s="226"/>
      <c r="S142" s="226"/>
      <c r="T142" s="226"/>
      <c r="U142" s="226"/>
      <c r="V142" s="6">
        <v>224</v>
      </c>
      <c r="W142" s="6">
        <v>43.9</v>
      </c>
      <c r="X142" s="6">
        <f t="shared" si="36"/>
        <v>291.2</v>
      </c>
      <c r="Y142" s="93">
        <f t="shared" si="39"/>
        <v>218.61999999999998</v>
      </c>
      <c r="Z142" s="93">
        <f t="shared" si="37"/>
        <v>116.47999999999999</v>
      </c>
      <c r="AA142" s="5"/>
      <c r="AB142" s="98">
        <v>57.6</v>
      </c>
    </row>
    <row r="143" spans="1:28" x14ac:dyDescent="0.3">
      <c r="A143" s="85">
        <f t="shared" si="38"/>
        <v>106</v>
      </c>
      <c r="B143" s="57">
        <v>1987</v>
      </c>
      <c r="C143" s="57" t="s">
        <v>73</v>
      </c>
      <c r="D143" s="91" t="s">
        <v>77</v>
      </c>
      <c r="E143" s="86" t="s">
        <v>79</v>
      </c>
      <c r="F143" s="87" t="s">
        <v>7</v>
      </c>
      <c r="G143" s="87">
        <v>8</v>
      </c>
      <c r="H143" s="87">
        <v>5</v>
      </c>
      <c r="I143" s="86">
        <v>1</v>
      </c>
      <c r="J143" s="87">
        <v>5</v>
      </c>
      <c r="K143" s="87"/>
      <c r="L143" s="57">
        <v>75</v>
      </c>
      <c r="M143" s="57">
        <v>199</v>
      </c>
      <c r="N143" s="1">
        <f t="shared" si="40"/>
        <v>4074</v>
      </c>
      <c r="O143" s="1">
        <v>3673</v>
      </c>
      <c r="P143" s="118">
        <f>2116.7-0.1+0.5-0.1+0.2</f>
        <v>2117.1999999999998</v>
      </c>
      <c r="Q143" s="225"/>
      <c r="R143" s="226"/>
      <c r="S143" s="226"/>
      <c r="T143" s="226"/>
      <c r="U143" s="226"/>
      <c r="V143" s="6">
        <v>346</v>
      </c>
      <c r="W143" s="6">
        <v>55</v>
      </c>
      <c r="X143" s="6">
        <f t="shared" si="36"/>
        <v>449.8</v>
      </c>
      <c r="Y143" s="93">
        <f t="shared" si="39"/>
        <v>324.88</v>
      </c>
      <c r="Z143" s="93">
        <f t="shared" si="37"/>
        <v>179.92000000000002</v>
      </c>
      <c r="AA143" s="5"/>
      <c r="AB143" s="98">
        <v>72</v>
      </c>
    </row>
    <row r="144" spans="1:28" x14ac:dyDescent="0.3">
      <c r="A144" s="85">
        <f t="shared" si="38"/>
        <v>107</v>
      </c>
      <c r="B144" s="57">
        <v>1987</v>
      </c>
      <c r="C144" s="57" t="s">
        <v>73</v>
      </c>
      <c r="D144" s="91" t="s">
        <v>77</v>
      </c>
      <c r="E144" s="86" t="s">
        <v>80</v>
      </c>
      <c r="F144" s="87" t="s">
        <v>7</v>
      </c>
      <c r="G144" s="87">
        <v>8</v>
      </c>
      <c r="H144" s="87">
        <v>5</v>
      </c>
      <c r="I144" s="86">
        <v>1</v>
      </c>
      <c r="J144" s="87">
        <v>5</v>
      </c>
      <c r="K144" s="87"/>
      <c r="L144" s="57">
        <v>50</v>
      </c>
      <c r="M144" s="57">
        <v>202</v>
      </c>
      <c r="N144" s="1">
        <f t="shared" si="40"/>
        <v>3949.2</v>
      </c>
      <c r="O144" s="1">
        <v>3523.7</v>
      </c>
      <c r="P144" s="118">
        <f>2269.3+0.7+1+1</f>
        <v>2272</v>
      </c>
      <c r="Q144" s="225"/>
      <c r="R144" s="226"/>
      <c r="S144" s="226"/>
      <c r="T144" s="226"/>
      <c r="U144" s="226"/>
      <c r="V144" s="6">
        <v>370</v>
      </c>
      <c r="W144" s="6">
        <v>55.5</v>
      </c>
      <c r="X144" s="6">
        <f t="shared" si="36"/>
        <v>481</v>
      </c>
      <c r="Y144" s="93">
        <f t="shared" si="39"/>
        <v>344.1</v>
      </c>
      <c r="Z144" s="93">
        <f t="shared" si="37"/>
        <v>192.39999999999998</v>
      </c>
      <c r="AA144" s="5"/>
      <c r="AB144" s="98">
        <v>48</v>
      </c>
    </row>
    <row r="145" spans="1:28" x14ac:dyDescent="0.3">
      <c r="A145" s="85">
        <f t="shared" si="38"/>
        <v>108</v>
      </c>
      <c r="B145" s="57">
        <v>1994</v>
      </c>
      <c r="C145" s="57" t="s">
        <v>73</v>
      </c>
      <c r="D145" s="91" t="s">
        <v>77</v>
      </c>
      <c r="E145" s="86">
        <v>11</v>
      </c>
      <c r="F145" s="87" t="s">
        <v>7</v>
      </c>
      <c r="G145" s="87">
        <v>8</v>
      </c>
      <c r="H145" s="87">
        <v>5</v>
      </c>
      <c r="I145" s="86">
        <v>1</v>
      </c>
      <c r="J145" s="87">
        <v>9</v>
      </c>
      <c r="K145" s="87"/>
      <c r="L145" s="57">
        <v>135</v>
      </c>
      <c r="M145" s="57">
        <v>301</v>
      </c>
      <c r="N145" s="1">
        <f t="shared" si="40"/>
        <v>7345.7</v>
      </c>
      <c r="O145" s="1">
        <v>6607.1</v>
      </c>
      <c r="P145" s="118">
        <f>3797.8+0.3-0.3</f>
        <v>3797.8</v>
      </c>
      <c r="Q145" s="225"/>
      <c r="R145" s="226"/>
      <c r="S145" s="226"/>
      <c r="T145" s="226"/>
      <c r="U145" s="226"/>
      <c r="V145" s="6">
        <v>630.70000000000005</v>
      </c>
      <c r="W145" s="6">
        <v>107.9</v>
      </c>
      <c r="X145" s="6">
        <f t="shared" si="36"/>
        <v>819.91000000000008</v>
      </c>
      <c r="Y145" s="93">
        <f t="shared" si="39"/>
        <v>599.84600000000012</v>
      </c>
      <c r="Z145" s="93">
        <f t="shared" si="37"/>
        <v>327.96399999999994</v>
      </c>
      <c r="AA145" s="5"/>
      <c r="AB145" s="98">
        <v>129.6</v>
      </c>
    </row>
    <row r="146" spans="1:28" x14ac:dyDescent="0.3">
      <c r="A146" s="85">
        <f t="shared" si="38"/>
        <v>109</v>
      </c>
      <c r="B146" s="57">
        <v>1987</v>
      </c>
      <c r="C146" s="57" t="s">
        <v>59</v>
      </c>
      <c r="D146" s="91" t="s">
        <v>6</v>
      </c>
      <c r="E146" s="86" t="s">
        <v>81</v>
      </c>
      <c r="F146" s="87" t="s">
        <v>7</v>
      </c>
      <c r="G146" s="87">
        <v>8</v>
      </c>
      <c r="H146" s="87">
        <v>5</v>
      </c>
      <c r="I146" s="86">
        <v>1</v>
      </c>
      <c r="J146" s="87">
        <v>5</v>
      </c>
      <c r="K146" s="87"/>
      <c r="L146" s="57">
        <v>75</v>
      </c>
      <c r="M146" s="57">
        <v>170</v>
      </c>
      <c r="N146" s="1">
        <f t="shared" si="40"/>
        <v>4093.5</v>
      </c>
      <c r="O146" s="1">
        <v>3690.9</v>
      </c>
      <c r="P146" s="118">
        <f>2119-0.5-0.2</f>
        <v>2118.3000000000002</v>
      </c>
      <c r="Q146" s="225"/>
      <c r="R146" s="226"/>
      <c r="S146" s="226"/>
      <c r="T146" s="226"/>
      <c r="U146" s="226"/>
      <c r="V146" s="6">
        <v>348</v>
      </c>
      <c r="W146" s="6">
        <v>54.6</v>
      </c>
      <c r="X146" s="6">
        <f t="shared" si="36"/>
        <v>452.40000000000003</v>
      </c>
      <c r="Y146" s="93">
        <f t="shared" si="39"/>
        <v>326.04000000000002</v>
      </c>
      <c r="Z146" s="93">
        <f t="shared" si="37"/>
        <v>180.96000000000004</v>
      </c>
      <c r="AA146" s="5"/>
      <c r="AB146" s="98">
        <v>72</v>
      </c>
    </row>
    <row r="147" spans="1:28" x14ac:dyDescent="0.3">
      <c r="A147" s="85">
        <f t="shared" si="38"/>
        <v>110</v>
      </c>
      <c r="B147" s="57">
        <v>1987</v>
      </c>
      <c r="C147" s="57" t="s">
        <v>59</v>
      </c>
      <c r="D147" s="91" t="s">
        <v>6</v>
      </c>
      <c r="E147" s="86">
        <v>39</v>
      </c>
      <c r="F147" s="87" t="s">
        <v>7</v>
      </c>
      <c r="G147" s="87">
        <v>8</v>
      </c>
      <c r="H147" s="87">
        <v>5</v>
      </c>
      <c r="I147" s="86">
        <v>1</v>
      </c>
      <c r="J147" s="87">
        <v>5</v>
      </c>
      <c r="K147" s="87"/>
      <c r="L147" s="57">
        <v>60</v>
      </c>
      <c r="M147" s="57">
        <v>160</v>
      </c>
      <c r="N147" s="1">
        <f t="shared" si="40"/>
        <v>4109</v>
      </c>
      <c r="O147" s="1">
        <v>2997.6</v>
      </c>
      <c r="P147" s="4">
        <v>1745.6</v>
      </c>
      <c r="Q147" s="225"/>
      <c r="R147" s="226"/>
      <c r="S147" s="226"/>
      <c r="T147" s="226"/>
      <c r="U147" s="226">
        <v>698.7</v>
      </c>
      <c r="V147" s="6">
        <v>347</v>
      </c>
      <c r="W147" s="6">
        <v>65.7</v>
      </c>
      <c r="X147" s="6">
        <f t="shared" si="36"/>
        <v>451.1</v>
      </c>
      <c r="Y147" s="93">
        <f t="shared" si="39"/>
        <v>336.35999999999996</v>
      </c>
      <c r="Z147" s="93">
        <f t="shared" si="37"/>
        <v>180.44000000000011</v>
      </c>
      <c r="AA147" s="5"/>
      <c r="AB147" s="98">
        <v>57.6</v>
      </c>
    </row>
    <row r="148" spans="1:28" x14ac:dyDescent="0.3">
      <c r="A148" s="85">
        <f t="shared" si="38"/>
        <v>111</v>
      </c>
      <c r="B148" s="57">
        <v>1994</v>
      </c>
      <c r="C148" s="57" t="s">
        <v>15</v>
      </c>
      <c r="D148" s="91" t="s">
        <v>6</v>
      </c>
      <c r="E148" s="86">
        <v>35</v>
      </c>
      <c r="F148" s="91" t="s">
        <v>159</v>
      </c>
      <c r="G148" s="86">
        <v>2</v>
      </c>
      <c r="H148" s="86">
        <v>9</v>
      </c>
      <c r="I148" s="86">
        <v>1</v>
      </c>
      <c r="J148" s="86">
        <v>1</v>
      </c>
      <c r="K148" s="86"/>
      <c r="L148" s="57">
        <v>36</v>
      </c>
      <c r="M148" s="57">
        <v>80</v>
      </c>
      <c r="N148" s="1">
        <f t="shared" si="40"/>
        <v>2342.7999999999997</v>
      </c>
      <c r="O148" s="1">
        <v>1980.8</v>
      </c>
      <c r="P148" s="89">
        <f>1200.4-0.9-0.6+0.2+3.7+0</f>
        <v>1202.8000000000002</v>
      </c>
      <c r="Q148" s="225"/>
      <c r="R148" s="226"/>
      <c r="S148" s="226"/>
      <c r="T148" s="226"/>
      <c r="U148" s="226"/>
      <c r="V148" s="183">
        <v>160.30000000000001</v>
      </c>
      <c r="W148" s="183">
        <v>201.7</v>
      </c>
      <c r="X148" s="93">
        <f t="shared" si="36"/>
        <v>208.39000000000001</v>
      </c>
      <c r="Y148" s="93">
        <f>W148/H148*4+X148/H148*4</f>
        <v>182.26222222222225</v>
      </c>
      <c r="Z148" s="93">
        <f t="shared" si="37"/>
        <v>227.82777777777778</v>
      </c>
      <c r="AA148" s="5"/>
      <c r="AB148" s="98">
        <v>108.9</v>
      </c>
    </row>
    <row r="149" spans="1:28" x14ac:dyDescent="0.3">
      <c r="A149" s="85"/>
      <c r="B149" s="73"/>
      <c r="C149" s="73"/>
      <c r="D149" s="111"/>
      <c r="E149" s="86"/>
      <c r="F149" s="86"/>
      <c r="G149" s="86"/>
      <c r="H149" s="86"/>
      <c r="I149" s="88">
        <f t="shared" ref="I149:AB149" si="41">SUM(I120:I148)</f>
        <v>29</v>
      </c>
      <c r="J149" s="88">
        <f t="shared" si="41"/>
        <v>146</v>
      </c>
      <c r="K149" s="88">
        <f t="shared" si="41"/>
        <v>0</v>
      </c>
      <c r="L149" s="88">
        <f t="shared" si="41"/>
        <v>2400</v>
      </c>
      <c r="M149" s="88">
        <f t="shared" si="41"/>
        <v>6505</v>
      </c>
      <c r="N149" s="119">
        <f t="shared" si="41"/>
        <v>142285.31</v>
      </c>
      <c r="O149" s="119">
        <f t="shared" si="41"/>
        <v>122472.90000000002</v>
      </c>
      <c r="P149" s="120">
        <f t="shared" si="41"/>
        <v>71724.460000000006</v>
      </c>
      <c r="Q149" s="235">
        <f t="shared" si="41"/>
        <v>0</v>
      </c>
      <c r="R149" s="235">
        <f t="shared" si="41"/>
        <v>0</v>
      </c>
      <c r="S149" s="235">
        <f t="shared" si="41"/>
        <v>1010.3000000000001</v>
      </c>
      <c r="T149" s="235">
        <f t="shared" si="41"/>
        <v>0</v>
      </c>
      <c r="U149" s="235">
        <f t="shared" si="41"/>
        <v>1080.8000000000002</v>
      </c>
      <c r="V149" s="113">
        <f t="shared" si="41"/>
        <v>10391.310000000001</v>
      </c>
      <c r="W149" s="114">
        <f t="shared" si="41"/>
        <v>7329.9999999999973</v>
      </c>
      <c r="X149" s="114">
        <f t="shared" si="41"/>
        <v>13508.702999999998</v>
      </c>
      <c r="Y149" s="114">
        <f t="shared" si="41"/>
        <v>12139.441577777781</v>
      </c>
      <c r="Z149" s="114">
        <f t="shared" si="41"/>
        <v>8699.2614222222219</v>
      </c>
      <c r="AA149" s="114">
        <f t="shared" si="41"/>
        <v>0</v>
      </c>
      <c r="AB149" s="173">
        <f t="shared" si="41"/>
        <v>2304.2999999999997</v>
      </c>
    </row>
    <row r="150" spans="1:28" x14ac:dyDescent="0.3">
      <c r="A150" s="85"/>
      <c r="B150" s="73"/>
      <c r="C150" s="73"/>
      <c r="D150" s="111"/>
      <c r="E150" s="86"/>
      <c r="F150" s="86"/>
      <c r="G150" s="86"/>
      <c r="H150" s="86"/>
      <c r="I150" s="88"/>
      <c r="J150" s="88"/>
      <c r="K150" s="88"/>
      <c r="L150" s="88"/>
      <c r="M150" s="88"/>
      <c r="N150" s="119"/>
      <c r="O150" s="119"/>
      <c r="P150" s="176"/>
      <c r="Q150" s="235"/>
      <c r="R150" s="235"/>
      <c r="S150" s="235"/>
      <c r="T150" s="235"/>
      <c r="U150" s="235"/>
      <c r="V150" s="113"/>
      <c r="W150" s="114"/>
      <c r="X150" s="114"/>
      <c r="Y150" s="114"/>
      <c r="Z150" s="114"/>
      <c r="AA150" s="114"/>
      <c r="AB150" s="177"/>
    </row>
    <row r="151" spans="1:28" ht="13.5" thickBot="1" x14ac:dyDescent="0.35">
      <c r="A151" s="85"/>
      <c r="B151" s="73"/>
      <c r="C151" s="73"/>
      <c r="D151" s="111" t="s">
        <v>198</v>
      </c>
      <c r="E151" s="86"/>
      <c r="F151" s="86"/>
      <c r="G151" s="86"/>
      <c r="H151" s="86"/>
      <c r="I151" s="88">
        <f t="shared" ref="I151:AB151" si="42">I85+I149</f>
        <v>35</v>
      </c>
      <c r="J151" s="88">
        <f t="shared" si="42"/>
        <v>161</v>
      </c>
      <c r="K151" s="88">
        <f t="shared" si="42"/>
        <v>0</v>
      </c>
      <c r="L151" s="88">
        <f t="shared" si="42"/>
        <v>2589</v>
      </c>
      <c r="M151" s="88">
        <f t="shared" si="42"/>
        <v>7028</v>
      </c>
      <c r="N151" s="88">
        <f t="shared" si="42"/>
        <v>156450.81</v>
      </c>
      <c r="O151" s="88">
        <f t="shared" si="42"/>
        <v>132664.00000000003</v>
      </c>
      <c r="P151" s="88">
        <f t="shared" si="42"/>
        <v>77317.460000000006</v>
      </c>
      <c r="Q151" s="223">
        <f t="shared" si="42"/>
        <v>0</v>
      </c>
      <c r="R151" s="223">
        <f t="shared" si="42"/>
        <v>0</v>
      </c>
      <c r="S151" s="223">
        <f t="shared" si="42"/>
        <v>1067.8000000000002</v>
      </c>
      <c r="T151" s="223">
        <f t="shared" si="42"/>
        <v>0</v>
      </c>
      <c r="U151" s="223">
        <f t="shared" si="42"/>
        <v>3511.9</v>
      </c>
      <c r="V151" s="88">
        <f t="shared" si="42"/>
        <v>11539.510000000002</v>
      </c>
      <c r="W151" s="88">
        <f t="shared" si="42"/>
        <v>7667.5999999999976</v>
      </c>
      <c r="X151" s="88">
        <f t="shared" si="42"/>
        <v>15001.362999999998</v>
      </c>
      <c r="Y151" s="88">
        <f t="shared" si="42"/>
        <v>13372.637577777781</v>
      </c>
      <c r="Z151" s="88">
        <f t="shared" si="42"/>
        <v>9296.3254222222222</v>
      </c>
      <c r="AA151" s="88">
        <f t="shared" si="42"/>
        <v>0</v>
      </c>
      <c r="AB151" s="88">
        <f t="shared" si="42"/>
        <v>2410.4999999999995</v>
      </c>
    </row>
    <row r="152" spans="1:28" x14ac:dyDescent="0.3">
      <c r="A152" s="85"/>
      <c r="B152" s="57"/>
      <c r="C152" s="57"/>
      <c r="D152" s="86" t="s">
        <v>83</v>
      </c>
      <c r="E152" s="87"/>
      <c r="F152" s="87"/>
      <c r="G152" s="87"/>
      <c r="H152" s="87"/>
      <c r="I152" s="87"/>
      <c r="J152" s="87"/>
      <c r="K152" s="87"/>
      <c r="L152" s="6"/>
      <c r="M152" s="6"/>
      <c r="N152" s="1"/>
      <c r="O152" s="1"/>
      <c r="P152" s="89"/>
      <c r="Q152" s="225"/>
      <c r="R152" s="226"/>
      <c r="S152" s="226"/>
      <c r="T152" s="226"/>
      <c r="U152" s="226"/>
      <c r="V152" s="6"/>
      <c r="W152" s="6"/>
      <c r="X152" s="3"/>
      <c r="Y152" s="3"/>
      <c r="Z152" s="3"/>
      <c r="AA152" s="115"/>
      <c r="AB152" s="116"/>
    </row>
    <row r="153" spans="1:28" x14ac:dyDescent="0.3">
      <c r="A153" s="85">
        <v>112</v>
      </c>
      <c r="B153" s="57">
        <v>1990</v>
      </c>
      <c r="C153" s="57" t="s">
        <v>15</v>
      </c>
      <c r="D153" s="91" t="s">
        <v>84</v>
      </c>
      <c r="E153" s="86">
        <v>3</v>
      </c>
      <c r="F153" s="87" t="s">
        <v>7</v>
      </c>
      <c r="G153" s="87">
        <v>8</v>
      </c>
      <c r="H153" s="87">
        <v>5</v>
      </c>
      <c r="I153" s="87">
        <v>1</v>
      </c>
      <c r="J153" s="87">
        <v>3</v>
      </c>
      <c r="K153" s="87"/>
      <c r="L153" s="87">
        <v>30</v>
      </c>
      <c r="M153" s="87">
        <v>116</v>
      </c>
      <c r="N153" s="1">
        <f t="shared" ref="N153:N176" si="43">O153+Q153+S153+U153+V153+W153</f>
        <v>2349.1000000000004</v>
      </c>
      <c r="O153" s="1">
        <v>2125.3000000000002</v>
      </c>
      <c r="P153" s="89">
        <f>1363.5-0.6</f>
        <v>1362.9</v>
      </c>
      <c r="Q153" s="225"/>
      <c r="R153" s="226"/>
      <c r="S153" s="226"/>
      <c r="T153" s="226"/>
      <c r="U153" s="226"/>
      <c r="V153" s="6">
        <v>190.5</v>
      </c>
      <c r="W153" s="6">
        <v>33.299999999999997</v>
      </c>
      <c r="X153" s="6">
        <f>V153*1.3</f>
        <v>247.65</v>
      </c>
      <c r="Y153" s="93">
        <f t="shared" ref="Y153:Y158" si="44">X153/H153*3+W153</f>
        <v>181.89</v>
      </c>
      <c r="Z153" s="93">
        <f t="shared" ref="Z153:Z176" si="45">W153+X153-Y153</f>
        <v>99.06</v>
      </c>
      <c r="AA153" s="95"/>
      <c r="AB153" s="121">
        <v>50.4</v>
      </c>
    </row>
    <row r="154" spans="1:28" x14ac:dyDescent="0.3">
      <c r="A154" s="85">
        <f t="shared" ref="A154:A176" si="46">A153+1</f>
        <v>113</v>
      </c>
      <c r="B154" s="57">
        <v>1991</v>
      </c>
      <c r="C154" s="57" t="s">
        <v>15</v>
      </c>
      <c r="D154" s="91" t="s">
        <v>84</v>
      </c>
      <c r="E154" s="86" t="s">
        <v>85</v>
      </c>
      <c r="F154" s="87" t="s">
        <v>7</v>
      </c>
      <c r="G154" s="87">
        <v>8</v>
      </c>
      <c r="H154" s="87">
        <v>5</v>
      </c>
      <c r="I154" s="87">
        <v>1</v>
      </c>
      <c r="J154" s="87">
        <v>3</v>
      </c>
      <c r="K154" s="87"/>
      <c r="L154" s="87">
        <v>30</v>
      </c>
      <c r="M154" s="87">
        <v>103</v>
      </c>
      <c r="N154" s="1">
        <f t="shared" si="43"/>
        <v>2363.6</v>
      </c>
      <c r="O154" s="1">
        <v>2120.4</v>
      </c>
      <c r="P154" s="89">
        <v>1370.1</v>
      </c>
      <c r="Q154" s="225"/>
      <c r="R154" s="226"/>
      <c r="S154" s="226"/>
      <c r="T154" s="226"/>
      <c r="U154" s="226"/>
      <c r="V154" s="6">
        <v>209.5</v>
      </c>
      <c r="W154" s="6">
        <v>33.700000000000003</v>
      </c>
      <c r="X154" s="6">
        <f t="shared" ref="X154:X176" si="47">V154*1.3</f>
        <v>272.35000000000002</v>
      </c>
      <c r="Y154" s="93">
        <f t="shared" si="44"/>
        <v>197.11</v>
      </c>
      <c r="Z154" s="93">
        <f t="shared" si="45"/>
        <v>108.94</v>
      </c>
      <c r="AA154" s="5"/>
      <c r="AB154" s="122">
        <v>43.2</v>
      </c>
    </row>
    <row r="155" spans="1:28" x14ac:dyDescent="0.3">
      <c r="A155" s="85">
        <f t="shared" si="46"/>
        <v>114</v>
      </c>
      <c r="B155" s="57">
        <v>1990</v>
      </c>
      <c r="C155" s="57" t="s">
        <v>15</v>
      </c>
      <c r="D155" s="91" t="s">
        <v>84</v>
      </c>
      <c r="E155" s="86">
        <v>5</v>
      </c>
      <c r="F155" s="87" t="s">
        <v>7</v>
      </c>
      <c r="G155" s="87">
        <v>8</v>
      </c>
      <c r="H155" s="87">
        <v>5</v>
      </c>
      <c r="I155" s="87">
        <v>1</v>
      </c>
      <c r="J155" s="87">
        <v>5</v>
      </c>
      <c r="K155" s="87"/>
      <c r="L155" s="87">
        <v>50</v>
      </c>
      <c r="M155" s="87">
        <v>185</v>
      </c>
      <c r="N155" s="1">
        <f t="shared" si="43"/>
        <v>4001.8</v>
      </c>
      <c r="O155" s="1">
        <v>3591.8</v>
      </c>
      <c r="P155" s="89">
        <f>2305.3-1.1-0.8+2.5</f>
        <v>2305.9</v>
      </c>
      <c r="Q155" s="225"/>
      <c r="R155" s="226"/>
      <c r="S155" s="226"/>
      <c r="T155" s="226"/>
      <c r="U155" s="226"/>
      <c r="V155" s="6">
        <v>354.4</v>
      </c>
      <c r="W155" s="6">
        <v>55.6</v>
      </c>
      <c r="X155" s="6">
        <f t="shared" si="47"/>
        <v>460.71999999999997</v>
      </c>
      <c r="Y155" s="93">
        <f t="shared" si="44"/>
        <v>332.03199999999998</v>
      </c>
      <c r="Z155" s="93">
        <f t="shared" si="45"/>
        <v>184.28799999999995</v>
      </c>
      <c r="AA155" s="5"/>
      <c r="AB155" s="122">
        <v>72</v>
      </c>
    </row>
    <row r="156" spans="1:28" x14ac:dyDescent="0.3">
      <c r="A156" s="85">
        <f t="shared" si="46"/>
        <v>115</v>
      </c>
      <c r="B156" s="57">
        <v>1991</v>
      </c>
      <c r="C156" s="57" t="s">
        <v>15</v>
      </c>
      <c r="D156" s="91" t="s">
        <v>84</v>
      </c>
      <c r="E156" s="86">
        <v>7</v>
      </c>
      <c r="F156" s="87" t="s">
        <v>7</v>
      </c>
      <c r="G156" s="87">
        <v>8</v>
      </c>
      <c r="H156" s="87">
        <v>5</v>
      </c>
      <c r="I156" s="87">
        <v>1</v>
      </c>
      <c r="J156" s="87">
        <v>7</v>
      </c>
      <c r="K156" s="87"/>
      <c r="L156" s="87">
        <v>104</v>
      </c>
      <c r="M156" s="87">
        <v>282</v>
      </c>
      <c r="N156" s="1">
        <f t="shared" si="43"/>
        <v>5808.8</v>
      </c>
      <c r="O156" s="1">
        <v>5184.2</v>
      </c>
      <c r="P156" s="89">
        <f>2957.2-0.3</f>
        <v>2956.8999999999996</v>
      </c>
      <c r="Q156" s="225"/>
      <c r="R156" s="226"/>
      <c r="S156" s="226">
        <v>48.7</v>
      </c>
      <c r="T156" s="226"/>
      <c r="U156" s="226"/>
      <c r="V156" s="6">
        <v>498.3</v>
      </c>
      <c r="W156" s="6">
        <v>77.599999999999994</v>
      </c>
      <c r="X156" s="6">
        <f t="shared" si="47"/>
        <v>647.79000000000008</v>
      </c>
      <c r="Y156" s="93">
        <f t="shared" si="44"/>
        <v>466.27400000000011</v>
      </c>
      <c r="Z156" s="93">
        <f t="shared" si="45"/>
        <v>259.11599999999999</v>
      </c>
      <c r="AA156" s="5"/>
      <c r="AB156" s="122">
        <v>114.7</v>
      </c>
    </row>
    <row r="157" spans="1:28" x14ac:dyDescent="0.3">
      <c r="A157" s="85">
        <f t="shared" si="46"/>
        <v>116</v>
      </c>
      <c r="B157" s="57">
        <v>1990</v>
      </c>
      <c r="C157" s="57" t="s">
        <v>15</v>
      </c>
      <c r="D157" s="91" t="s">
        <v>84</v>
      </c>
      <c r="E157" s="86">
        <v>9</v>
      </c>
      <c r="F157" s="87" t="s">
        <v>7</v>
      </c>
      <c r="G157" s="87">
        <v>8</v>
      </c>
      <c r="H157" s="87">
        <v>5</v>
      </c>
      <c r="I157" s="87">
        <v>1</v>
      </c>
      <c r="J157" s="87">
        <v>3</v>
      </c>
      <c r="K157" s="87"/>
      <c r="L157" s="87">
        <v>29</v>
      </c>
      <c r="M157" s="87">
        <v>108</v>
      </c>
      <c r="N157" s="1">
        <f t="shared" si="43"/>
        <v>2395.9</v>
      </c>
      <c r="O157" s="1">
        <v>2074.6</v>
      </c>
      <c r="P157" s="89">
        <f>1390.9-1.2</f>
        <v>1389.7</v>
      </c>
      <c r="Q157" s="225"/>
      <c r="R157" s="226"/>
      <c r="S157" s="226">
        <v>78</v>
      </c>
      <c r="T157" s="226"/>
      <c r="U157" s="226"/>
      <c r="V157" s="6">
        <v>209.3</v>
      </c>
      <c r="W157" s="6">
        <v>34</v>
      </c>
      <c r="X157" s="6">
        <f t="shared" si="47"/>
        <v>272.09000000000003</v>
      </c>
      <c r="Y157" s="93">
        <f t="shared" si="44"/>
        <v>197.25400000000002</v>
      </c>
      <c r="Z157" s="93">
        <f t="shared" si="45"/>
        <v>108.83600000000001</v>
      </c>
      <c r="AA157" s="5"/>
      <c r="AB157" s="122">
        <v>49.1</v>
      </c>
    </row>
    <row r="158" spans="1:28" x14ac:dyDescent="0.3">
      <c r="A158" s="85">
        <f t="shared" si="46"/>
        <v>117</v>
      </c>
      <c r="B158" s="57">
        <v>1991</v>
      </c>
      <c r="C158" s="57" t="s">
        <v>15</v>
      </c>
      <c r="D158" s="91" t="s">
        <v>84</v>
      </c>
      <c r="E158" s="86" t="s">
        <v>86</v>
      </c>
      <c r="F158" s="87" t="s">
        <v>7</v>
      </c>
      <c r="G158" s="87">
        <v>8</v>
      </c>
      <c r="H158" s="87">
        <v>5</v>
      </c>
      <c r="I158" s="87">
        <v>1</v>
      </c>
      <c r="J158" s="87">
        <v>3</v>
      </c>
      <c r="K158" s="87"/>
      <c r="L158" s="87">
        <v>30</v>
      </c>
      <c r="M158" s="87">
        <v>101</v>
      </c>
      <c r="N158" s="1">
        <f t="shared" si="43"/>
        <v>2370.3000000000002</v>
      </c>
      <c r="O158" s="1">
        <v>2125.9</v>
      </c>
      <c r="P158" s="89">
        <f>1364.6-3.2+3.8+4</f>
        <v>1369.1999999999998</v>
      </c>
      <c r="Q158" s="225"/>
      <c r="R158" s="226"/>
      <c r="S158" s="226"/>
      <c r="T158" s="226"/>
      <c r="U158" s="226"/>
      <c r="V158" s="6">
        <v>211.4</v>
      </c>
      <c r="W158" s="6">
        <v>33</v>
      </c>
      <c r="X158" s="6">
        <f t="shared" si="47"/>
        <v>274.82</v>
      </c>
      <c r="Y158" s="93">
        <f t="shared" si="44"/>
        <v>197.892</v>
      </c>
      <c r="Z158" s="93">
        <f t="shared" si="45"/>
        <v>109.928</v>
      </c>
      <c r="AA158" s="5"/>
      <c r="AB158" s="122">
        <v>50.4</v>
      </c>
    </row>
    <row r="159" spans="1:28" ht="15" customHeight="1" x14ac:dyDescent="0.3">
      <c r="A159" s="85">
        <f t="shared" si="46"/>
        <v>118</v>
      </c>
      <c r="B159" s="57">
        <v>1994</v>
      </c>
      <c r="C159" s="57" t="s">
        <v>15</v>
      </c>
      <c r="D159" s="91" t="s">
        <v>32</v>
      </c>
      <c r="E159" s="86">
        <v>109</v>
      </c>
      <c r="F159" s="87" t="s">
        <v>7</v>
      </c>
      <c r="G159" s="86">
        <v>1</v>
      </c>
      <c r="H159" s="86">
        <v>9</v>
      </c>
      <c r="I159" s="87">
        <v>1</v>
      </c>
      <c r="J159" s="86">
        <v>1</v>
      </c>
      <c r="K159" s="86"/>
      <c r="L159" s="87">
        <v>36</v>
      </c>
      <c r="M159" s="87">
        <v>121</v>
      </c>
      <c r="N159" s="1">
        <f t="shared" si="43"/>
        <v>2338.2000000000003</v>
      </c>
      <c r="O159" s="1">
        <v>2034.9</v>
      </c>
      <c r="P159" s="89">
        <f>1355.3-0.9-0.8-0.8-0.7</f>
        <v>1352.1</v>
      </c>
      <c r="Q159" s="225"/>
      <c r="R159" s="226"/>
      <c r="S159" s="226"/>
      <c r="T159" s="226"/>
      <c r="U159" s="226"/>
      <c r="V159" s="6">
        <v>85.5</v>
      </c>
      <c r="W159" s="6">
        <v>217.8</v>
      </c>
      <c r="X159" s="6">
        <f t="shared" si="47"/>
        <v>111.15</v>
      </c>
      <c r="Y159" s="93">
        <f>X159/H159*4+24.2+217.8/8*3</f>
        <v>155.27500000000003</v>
      </c>
      <c r="Z159" s="93">
        <f t="shared" si="45"/>
        <v>173.67500000000001</v>
      </c>
      <c r="AA159" s="5"/>
      <c r="AB159" s="122">
        <v>64.3</v>
      </c>
    </row>
    <row r="160" spans="1:28" x14ac:dyDescent="0.3">
      <c r="A160" s="85">
        <f t="shared" si="46"/>
        <v>119</v>
      </c>
      <c r="B160" s="57">
        <v>1989</v>
      </c>
      <c r="C160" s="57" t="s">
        <v>15</v>
      </c>
      <c r="D160" s="91" t="s">
        <v>32</v>
      </c>
      <c r="E160" s="86">
        <v>111</v>
      </c>
      <c r="F160" s="87" t="s">
        <v>7</v>
      </c>
      <c r="G160" s="87">
        <v>8</v>
      </c>
      <c r="H160" s="87">
        <v>5</v>
      </c>
      <c r="I160" s="87">
        <v>1</v>
      </c>
      <c r="J160" s="87">
        <v>7</v>
      </c>
      <c r="K160" s="87"/>
      <c r="L160" s="87">
        <f>105</f>
        <v>105</v>
      </c>
      <c r="M160" s="87">
        <v>276</v>
      </c>
      <c r="N160" s="1">
        <f t="shared" si="43"/>
        <v>5764</v>
      </c>
      <c r="O160" s="1">
        <v>4988.8999999999996</v>
      </c>
      <c r="P160" s="89">
        <f>2940.5-17.5-0.1-0.2-0.1-29.1-41.5+2.1-7.4</f>
        <v>2846.7000000000003</v>
      </c>
      <c r="Q160" s="225">
        <v>64.7</v>
      </c>
      <c r="R160" s="226"/>
      <c r="S160" s="226">
        <v>39.6</v>
      </c>
      <c r="T160" s="226"/>
      <c r="U160" s="226">
        <v>87.6</v>
      </c>
      <c r="V160" s="6">
        <v>500.9</v>
      </c>
      <c r="W160" s="6">
        <v>82.3</v>
      </c>
      <c r="X160" s="6">
        <f>V160*1.3</f>
        <v>651.16999999999996</v>
      </c>
      <c r="Y160" s="93">
        <f t="shared" ref="Y160:Y169" si="48">X160/H160*3+W160</f>
        <v>473.00199999999995</v>
      </c>
      <c r="Z160" s="93">
        <f t="shared" si="45"/>
        <v>260.46799999999996</v>
      </c>
      <c r="AA160" s="5"/>
      <c r="AB160" s="122">
        <v>100.8</v>
      </c>
    </row>
    <row r="161" spans="1:28" x14ac:dyDescent="0.3">
      <c r="A161" s="85">
        <f t="shared" si="46"/>
        <v>120</v>
      </c>
      <c r="B161" s="57">
        <v>1990</v>
      </c>
      <c r="C161" s="57" t="s">
        <v>15</v>
      </c>
      <c r="D161" s="91" t="s">
        <v>32</v>
      </c>
      <c r="E161" s="86" t="s">
        <v>87</v>
      </c>
      <c r="F161" s="87" t="s">
        <v>7</v>
      </c>
      <c r="G161" s="87">
        <v>8</v>
      </c>
      <c r="H161" s="87">
        <v>5</v>
      </c>
      <c r="I161" s="87">
        <v>1</v>
      </c>
      <c r="J161" s="87">
        <v>5</v>
      </c>
      <c r="K161" s="87"/>
      <c r="L161" s="87">
        <v>75</v>
      </c>
      <c r="M161" s="87">
        <f>190+282</f>
        <v>472</v>
      </c>
      <c r="N161" s="1">
        <f t="shared" si="43"/>
        <v>4105.8999999999996</v>
      </c>
      <c r="O161" s="1">
        <f>3715.5-0.6-0.5-0.9-0.4</f>
        <v>3713.1</v>
      </c>
      <c r="P161" s="89">
        <f>2126.9-0.4-0.3-0.5-0.1</f>
        <v>2125.6</v>
      </c>
      <c r="Q161" s="225"/>
      <c r="R161" s="226"/>
      <c r="S161" s="226"/>
      <c r="T161" s="226"/>
      <c r="U161" s="226"/>
      <c r="V161" s="6">
        <v>348</v>
      </c>
      <c r="W161" s="6">
        <v>44.8</v>
      </c>
      <c r="X161" s="6">
        <f t="shared" ref="X161:X168" si="49">V161*1.3</f>
        <v>452.40000000000003</v>
      </c>
      <c r="Y161" s="93">
        <f t="shared" si="48"/>
        <v>316.24</v>
      </c>
      <c r="Z161" s="93">
        <f t="shared" si="45"/>
        <v>180.96000000000004</v>
      </c>
      <c r="AA161" s="5"/>
      <c r="AB161" s="122">
        <v>72</v>
      </c>
    </row>
    <row r="162" spans="1:28" x14ac:dyDescent="0.3">
      <c r="A162" s="85">
        <f t="shared" si="46"/>
        <v>121</v>
      </c>
      <c r="B162" s="57">
        <v>1990</v>
      </c>
      <c r="C162" s="57" t="s">
        <v>15</v>
      </c>
      <c r="D162" s="91" t="s">
        <v>32</v>
      </c>
      <c r="E162" s="86" t="s">
        <v>88</v>
      </c>
      <c r="F162" s="87" t="s">
        <v>7</v>
      </c>
      <c r="G162" s="87">
        <v>8</v>
      </c>
      <c r="H162" s="87">
        <v>5</v>
      </c>
      <c r="I162" s="87">
        <v>1</v>
      </c>
      <c r="J162" s="87">
        <v>3</v>
      </c>
      <c r="K162" s="87"/>
      <c r="L162" s="87">
        <v>30</v>
      </c>
      <c r="M162" s="87">
        <f>107+76</f>
        <v>183</v>
      </c>
      <c r="N162" s="1">
        <f t="shared" si="43"/>
        <v>2390.1</v>
      </c>
      <c r="O162" s="3">
        <f>2146.7</f>
        <v>2146.6999999999998</v>
      </c>
      <c r="P162" s="4">
        <f>1376.4</f>
        <v>1376.4</v>
      </c>
      <c r="Q162" s="225"/>
      <c r="R162" s="226"/>
      <c r="S162" s="226"/>
      <c r="T162" s="226"/>
      <c r="U162" s="226"/>
      <c r="V162" s="6">
        <v>210</v>
      </c>
      <c r="W162" s="6">
        <v>33.4</v>
      </c>
      <c r="X162" s="6">
        <f t="shared" si="49"/>
        <v>273</v>
      </c>
      <c r="Y162" s="93">
        <f t="shared" si="48"/>
        <v>197.20000000000002</v>
      </c>
      <c r="Z162" s="93">
        <f t="shared" si="45"/>
        <v>109.19999999999996</v>
      </c>
      <c r="AA162" s="5"/>
      <c r="AB162" s="122">
        <v>43.2</v>
      </c>
    </row>
    <row r="163" spans="1:28" x14ac:dyDescent="0.3">
      <c r="A163" s="85">
        <f t="shared" si="46"/>
        <v>122</v>
      </c>
      <c r="B163" s="57">
        <v>1990</v>
      </c>
      <c r="C163" s="57" t="s">
        <v>15</v>
      </c>
      <c r="D163" s="91" t="s">
        <v>32</v>
      </c>
      <c r="E163" s="86">
        <v>113</v>
      </c>
      <c r="F163" s="87" t="s">
        <v>7</v>
      </c>
      <c r="G163" s="87">
        <v>8</v>
      </c>
      <c r="H163" s="87">
        <v>5</v>
      </c>
      <c r="I163" s="87">
        <v>1</v>
      </c>
      <c r="J163" s="87">
        <v>6</v>
      </c>
      <c r="K163" s="87"/>
      <c r="L163" s="87">
        <v>89</v>
      </c>
      <c r="M163" s="87">
        <v>233</v>
      </c>
      <c r="N163" s="1">
        <f t="shared" si="43"/>
        <v>4954.3999999999996</v>
      </c>
      <c r="O163" s="3">
        <f>4455-0.1-0.9-1.5</f>
        <v>4452.5</v>
      </c>
      <c r="P163" s="4">
        <f>2559.5+0-0.7-0.1</f>
        <v>2558.7000000000003</v>
      </c>
      <c r="Q163" s="225"/>
      <c r="R163" s="226"/>
      <c r="S163" s="226"/>
      <c r="T163" s="226"/>
      <c r="U163" s="226"/>
      <c r="V163" s="6">
        <v>426.4</v>
      </c>
      <c r="W163" s="6">
        <v>75.5</v>
      </c>
      <c r="X163" s="6">
        <f t="shared" si="49"/>
        <v>554.31999999999994</v>
      </c>
      <c r="Y163" s="93">
        <f t="shared" si="48"/>
        <v>408.09199999999998</v>
      </c>
      <c r="Z163" s="93">
        <f t="shared" si="45"/>
        <v>221.72799999999995</v>
      </c>
      <c r="AA163" s="5"/>
      <c r="AB163" s="122">
        <v>86.4</v>
      </c>
    </row>
    <row r="164" spans="1:28" x14ac:dyDescent="0.3">
      <c r="A164" s="85">
        <f t="shared" si="46"/>
        <v>123</v>
      </c>
      <c r="B164" s="57">
        <v>1990</v>
      </c>
      <c r="C164" s="57" t="s">
        <v>15</v>
      </c>
      <c r="D164" s="91" t="s">
        <v>32</v>
      </c>
      <c r="E164" s="86" t="s">
        <v>89</v>
      </c>
      <c r="F164" s="87" t="s">
        <v>7</v>
      </c>
      <c r="G164" s="87">
        <v>8</v>
      </c>
      <c r="H164" s="87">
        <v>5</v>
      </c>
      <c r="I164" s="87">
        <v>1</v>
      </c>
      <c r="J164" s="87">
        <v>4</v>
      </c>
      <c r="K164" s="87"/>
      <c r="L164" s="87">
        <f>60</f>
        <v>60</v>
      </c>
      <c r="M164" s="87">
        <v>161</v>
      </c>
      <c r="N164" s="1">
        <f t="shared" si="43"/>
        <v>3292.1999999999994</v>
      </c>
      <c r="O164" s="3">
        <f>2965.2-51.3-0.4</f>
        <v>2913.4999999999995</v>
      </c>
      <c r="P164" s="89">
        <f>1703-28.9</f>
        <v>1674.1</v>
      </c>
      <c r="Q164" s="225"/>
      <c r="R164" s="226"/>
      <c r="S164" s="226">
        <v>51.2</v>
      </c>
      <c r="T164" s="226"/>
      <c r="U164" s="226"/>
      <c r="V164" s="6">
        <v>283</v>
      </c>
      <c r="W164" s="6">
        <v>44.5</v>
      </c>
      <c r="X164" s="6">
        <f t="shared" si="49"/>
        <v>367.90000000000003</v>
      </c>
      <c r="Y164" s="93">
        <f t="shared" si="48"/>
        <v>265.24</v>
      </c>
      <c r="Z164" s="93">
        <f t="shared" si="45"/>
        <v>147.16000000000003</v>
      </c>
      <c r="AA164" s="5"/>
      <c r="AB164" s="122">
        <v>57.6</v>
      </c>
    </row>
    <row r="165" spans="1:28" x14ac:dyDescent="0.3">
      <c r="A165" s="85">
        <f t="shared" si="46"/>
        <v>124</v>
      </c>
      <c r="B165" s="57">
        <v>1990</v>
      </c>
      <c r="C165" s="57" t="s">
        <v>15</v>
      </c>
      <c r="D165" s="91" t="s">
        <v>32</v>
      </c>
      <c r="E165" s="86" t="s">
        <v>90</v>
      </c>
      <c r="F165" s="87" t="s">
        <v>7</v>
      </c>
      <c r="G165" s="87">
        <v>8</v>
      </c>
      <c r="H165" s="87">
        <v>5</v>
      </c>
      <c r="I165" s="87">
        <v>1</v>
      </c>
      <c r="J165" s="87">
        <v>3</v>
      </c>
      <c r="K165" s="87"/>
      <c r="L165" s="87">
        <v>45</v>
      </c>
      <c r="M165" s="87">
        <v>132</v>
      </c>
      <c r="N165" s="1">
        <f t="shared" si="43"/>
        <v>2465</v>
      </c>
      <c r="O165" s="1">
        <v>2221.9</v>
      </c>
      <c r="P165" s="89">
        <v>1272.0999999999999</v>
      </c>
      <c r="Q165" s="225"/>
      <c r="R165" s="226"/>
      <c r="S165" s="226"/>
      <c r="T165" s="226"/>
      <c r="U165" s="226"/>
      <c r="V165" s="6">
        <v>210.1</v>
      </c>
      <c r="W165" s="6">
        <v>33</v>
      </c>
      <c r="X165" s="6">
        <f t="shared" si="49"/>
        <v>273.13</v>
      </c>
      <c r="Y165" s="93">
        <f t="shared" si="48"/>
        <v>196.87799999999999</v>
      </c>
      <c r="Z165" s="93">
        <f t="shared" si="45"/>
        <v>109.25200000000001</v>
      </c>
      <c r="AA165" s="5"/>
      <c r="AB165" s="122">
        <v>43.2</v>
      </c>
    </row>
    <row r="166" spans="1:28" x14ac:dyDescent="0.3">
      <c r="A166" s="85">
        <f t="shared" si="46"/>
        <v>125</v>
      </c>
      <c r="B166" s="57">
        <v>1990</v>
      </c>
      <c r="C166" s="57" t="s">
        <v>15</v>
      </c>
      <c r="D166" s="91" t="s">
        <v>32</v>
      </c>
      <c r="E166" s="86">
        <v>115</v>
      </c>
      <c r="F166" s="87" t="s">
        <v>7</v>
      </c>
      <c r="G166" s="87">
        <v>8</v>
      </c>
      <c r="H166" s="87">
        <v>5</v>
      </c>
      <c r="I166" s="87">
        <v>1</v>
      </c>
      <c r="J166" s="87">
        <v>5</v>
      </c>
      <c r="K166" s="87"/>
      <c r="L166" s="87">
        <v>89</v>
      </c>
      <c r="M166" s="87">
        <v>241</v>
      </c>
      <c r="N166" s="1">
        <f t="shared" si="43"/>
        <v>4971.1000000000004</v>
      </c>
      <c r="O166" s="123">
        <v>4471.3</v>
      </c>
      <c r="P166" s="4">
        <f>2568.3-0.2-0.4-0.4</f>
        <v>2567.3000000000002</v>
      </c>
      <c r="Q166" s="225"/>
      <c r="R166" s="226"/>
      <c r="S166" s="226"/>
      <c r="T166" s="226"/>
      <c r="U166" s="226"/>
      <c r="V166" s="6">
        <v>424</v>
      </c>
      <c r="W166" s="6">
        <v>75.8</v>
      </c>
      <c r="X166" s="6">
        <f t="shared" si="49"/>
        <v>551.20000000000005</v>
      </c>
      <c r="Y166" s="93">
        <f t="shared" si="48"/>
        <v>406.52000000000004</v>
      </c>
      <c r="Z166" s="93">
        <f t="shared" si="45"/>
        <v>220.47999999999996</v>
      </c>
      <c r="AA166" s="5"/>
      <c r="AB166" s="122">
        <v>86.4</v>
      </c>
    </row>
    <row r="167" spans="1:28" x14ac:dyDescent="0.3">
      <c r="A167" s="85">
        <f t="shared" si="46"/>
        <v>126</v>
      </c>
      <c r="B167" s="57">
        <v>1990</v>
      </c>
      <c r="C167" s="57" t="s">
        <v>15</v>
      </c>
      <c r="D167" s="91" t="s">
        <v>32</v>
      </c>
      <c r="E167" s="86" t="s">
        <v>91</v>
      </c>
      <c r="F167" s="87" t="s">
        <v>7</v>
      </c>
      <c r="G167" s="87">
        <v>8</v>
      </c>
      <c r="H167" s="87">
        <v>5</v>
      </c>
      <c r="I167" s="87">
        <v>1</v>
      </c>
      <c r="J167" s="87">
        <v>4</v>
      </c>
      <c r="K167" s="87"/>
      <c r="L167" s="87">
        <v>60</v>
      </c>
      <c r="M167" s="87">
        <v>174</v>
      </c>
      <c r="N167" s="1">
        <f t="shared" si="43"/>
        <v>3301.7</v>
      </c>
      <c r="O167" s="117">
        <v>2975</v>
      </c>
      <c r="P167" s="89">
        <f>1711.3-0.3</f>
        <v>1711</v>
      </c>
      <c r="Q167" s="225"/>
      <c r="R167" s="226"/>
      <c r="S167" s="226"/>
      <c r="T167" s="226"/>
      <c r="U167" s="226"/>
      <c r="V167" s="6">
        <v>282.2</v>
      </c>
      <c r="W167" s="6">
        <v>44.5</v>
      </c>
      <c r="X167" s="6">
        <f t="shared" si="49"/>
        <v>366.86</v>
      </c>
      <c r="Y167" s="93">
        <f t="shared" si="48"/>
        <v>264.61599999999999</v>
      </c>
      <c r="Z167" s="93">
        <f t="shared" si="45"/>
        <v>146.74400000000003</v>
      </c>
      <c r="AA167" s="5"/>
      <c r="AB167" s="122">
        <v>57.6</v>
      </c>
    </row>
    <row r="168" spans="1:28" x14ac:dyDescent="0.3">
      <c r="A168" s="85">
        <f t="shared" si="46"/>
        <v>127</v>
      </c>
      <c r="B168" s="57">
        <v>1990</v>
      </c>
      <c r="C168" s="57" t="s">
        <v>15</v>
      </c>
      <c r="D168" s="91" t="s">
        <v>32</v>
      </c>
      <c r="E168" s="86" t="s">
        <v>92</v>
      </c>
      <c r="F168" s="87" t="s">
        <v>7</v>
      </c>
      <c r="G168" s="87">
        <v>8</v>
      </c>
      <c r="H168" s="87">
        <v>5</v>
      </c>
      <c r="I168" s="87">
        <v>1</v>
      </c>
      <c r="J168" s="87">
        <v>3</v>
      </c>
      <c r="K168" s="87"/>
      <c r="L168" s="87">
        <v>45</v>
      </c>
      <c r="M168" s="87">
        <v>124</v>
      </c>
      <c r="N168" s="1">
        <f t="shared" si="43"/>
        <v>2476.1000000000004</v>
      </c>
      <c r="O168" s="1">
        <v>2231.9</v>
      </c>
      <c r="P168" s="89">
        <f>1277-0.1+6.1</f>
        <v>1283</v>
      </c>
      <c r="Q168" s="225"/>
      <c r="R168" s="226"/>
      <c r="S168" s="226"/>
      <c r="T168" s="226"/>
      <c r="U168" s="226"/>
      <c r="V168" s="6">
        <v>210.8</v>
      </c>
      <c r="W168" s="6">
        <v>33.4</v>
      </c>
      <c r="X168" s="6">
        <f t="shared" si="49"/>
        <v>274.04000000000002</v>
      </c>
      <c r="Y168" s="93">
        <f t="shared" si="48"/>
        <v>197.82400000000004</v>
      </c>
      <c r="Z168" s="93">
        <f t="shared" si="45"/>
        <v>109.61599999999996</v>
      </c>
      <c r="AA168" s="5"/>
      <c r="AB168" s="122">
        <v>43.2</v>
      </c>
    </row>
    <row r="169" spans="1:28" x14ac:dyDescent="0.3">
      <c r="A169" s="85">
        <f t="shared" si="46"/>
        <v>128</v>
      </c>
      <c r="B169" s="57">
        <v>1991</v>
      </c>
      <c r="C169" s="57" t="s">
        <v>15</v>
      </c>
      <c r="D169" s="91" t="s">
        <v>32</v>
      </c>
      <c r="E169" s="86">
        <v>117</v>
      </c>
      <c r="F169" s="87" t="s">
        <v>7</v>
      </c>
      <c r="G169" s="87">
        <v>8</v>
      </c>
      <c r="H169" s="87">
        <v>5</v>
      </c>
      <c r="I169" s="87">
        <v>1</v>
      </c>
      <c r="J169" s="87">
        <v>5</v>
      </c>
      <c r="K169" s="87"/>
      <c r="L169" s="87">
        <v>75</v>
      </c>
      <c r="M169" s="87">
        <v>224</v>
      </c>
      <c r="N169" s="1">
        <f t="shared" si="43"/>
        <v>4146.6000000000004</v>
      </c>
      <c r="O169" s="1">
        <v>3735.4</v>
      </c>
      <c r="P169" s="89">
        <f>2144.4-0.2-0.4</f>
        <v>2143.8000000000002</v>
      </c>
      <c r="Q169" s="225"/>
      <c r="R169" s="226"/>
      <c r="S169" s="226"/>
      <c r="T169" s="226"/>
      <c r="U169" s="226"/>
      <c r="V169" s="6">
        <v>355.4</v>
      </c>
      <c r="W169" s="6">
        <v>55.8</v>
      </c>
      <c r="X169" s="6">
        <f>2.7+3.2+9.1+16.4+11.9+1.4+2.7+3.1+8.9+12+1.4+4.9+11.1+2.7+3.3+9.3+11.9+1.4</f>
        <v>117.40000000000002</v>
      </c>
      <c r="Y169" s="93">
        <f t="shared" si="48"/>
        <v>126.24000000000001</v>
      </c>
      <c r="Z169" s="93">
        <f t="shared" si="45"/>
        <v>46.960000000000008</v>
      </c>
      <c r="AA169" s="5"/>
      <c r="AB169" s="122">
        <v>72</v>
      </c>
    </row>
    <row r="170" spans="1:28" x14ac:dyDescent="0.3">
      <c r="A170" s="85">
        <f t="shared" si="46"/>
        <v>129</v>
      </c>
      <c r="B170" s="57">
        <v>1991</v>
      </c>
      <c r="C170" s="57" t="s">
        <v>15</v>
      </c>
      <c r="D170" s="91" t="s">
        <v>29</v>
      </c>
      <c r="E170" s="86" t="s">
        <v>93</v>
      </c>
      <c r="F170" s="87" t="s">
        <v>7</v>
      </c>
      <c r="G170" s="86">
        <v>3</v>
      </c>
      <c r="H170" s="86">
        <v>9</v>
      </c>
      <c r="I170" s="87">
        <v>1</v>
      </c>
      <c r="J170" s="86">
        <v>1</v>
      </c>
      <c r="K170" s="86"/>
      <c r="L170" s="87">
        <v>108</v>
      </c>
      <c r="M170" s="87">
        <v>264</v>
      </c>
      <c r="N170" s="1">
        <f t="shared" si="43"/>
        <v>6453.6999999999989</v>
      </c>
      <c r="O170" s="3">
        <v>4829.8999999999996</v>
      </c>
      <c r="P170" s="4">
        <f>2727.7-0.5-0.1-0.2-0.2+0.1-0.5</f>
        <v>2726.3</v>
      </c>
      <c r="Q170" s="225"/>
      <c r="R170" s="226"/>
      <c r="S170" s="226"/>
      <c r="T170" s="226"/>
      <c r="U170" s="226">
        <v>218</v>
      </c>
      <c r="V170" s="6">
        <v>137.4</v>
      </c>
      <c r="W170" s="6">
        <v>1268.4000000000001</v>
      </c>
      <c r="X170" s="6">
        <f t="shared" si="47"/>
        <v>178.62</v>
      </c>
      <c r="Y170" s="93">
        <f>X170/H170*4+W170/H170*4</f>
        <v>643.12</v>
      </c>
      <c r="Z170" s="93">
        <f t="shared" si="45"/>
        <v>803.9</v>
      </c>
      <c r="AA170" s="5"/>
      <c r="AB170" s="122">
        <v>72.099999999999994</v>
      </c>
    </row>
    <row r="171" spans="1:28" x14ac:dyDescent="0.3">
      <c r="A171" s="85">
        <f t="shared" si="46"/>
        <v>130</v>
      </c>
      <c r="B171" s="57">
        <v>1992</v>
      </c>
      <c r="C171" s="57" t="s">
        <v>15</v>
      </c>
      <c r="D171" s="91" t="s">
        <v>29</v>
      </c>
      <c r="E171" s="86" t="s">
        <v>94</v>
      </c>
      <c r="F171" s="87" t="s">
        <v>7</v>
      </c>
      <c r="G171" s="86">
        <v>3</v>
      </c>
      <c r="H171" s="86">
        <v>9</v>
      </c>
      <c r="I171" s="87">
        <v>1</v>
      </c>
      <c r="J171" s="86">
        <v>1</v>
      </c>
      <c r="K171" s="86"/>
      <c r="L171" s="87">
        <v>108</v>
      </c>
      <c r="M171" s="87">
        <v>255</v>
      </c>
      <c r="N171" s="1">
        <f t="shared" si="43"/>
        <v>6171.3</v>
      </c>
      <c r="O171" s="3">
        <v>4552.1000000000004</v>
      </c>
      <c r="P171" s="4">
        <f>2709.9-90.4-49.9-0.2-0.1+0.2</f>
        <v>2569.5</v>
      </c>
      <c r="Q171" s="225"/>
      <c r="R171" s="226"/>
      <c r="S171" s="226">
        <f>105.9+201.1</f>
        <v>307</v>
      </c>
      <c r="T171" s="226"/>
      <c r="U171" s="226"/>
      <c r="V171" s="6">
        <v>137.69999999999999</v>
      </c>
      <c r="W171" s="6">
        <v>1174.5</v>
      </c>
      <c r="X171" s="6">
        <f t="shared" si="47"/>
        <v>179.01</v>
      </c>
      <c r="Y171" s="93">
        <f>X171/H171*4+W171/H171*4</f>
        <v>601.55999999999995</v>
      </c>
      <c r="Z171" s="93">
        <f t="shared" si="45"/>
        <v>751.95</v>
      </c>
      <c r="AA171" s="5"/>
      <c r="AB171" s="122">
        <v>64.8</v>
      </c>
    </row>
    <row r="172" spans="1:28" x14ac:dyDescent="0.3">
      <c r="A172" s="85">
        <f t="shared" si="46"/>
        <v>131</v>
      </c>
      <c r="B172" s="57">
        <v>1994</v>
      </c>
      <c r="C172" s="57" t="s">
        <v>15</v>
      </c>
      <c r="D172" s="91" t="s">
        <v>29</v>
      </c>
      <c r="E172" s="86">
        <v>94</v>
      </c>
      <c r="F172" s="87" t="s">
        <v>7</v>
      </c>
      <c r="G172" s="86">
        <v>3</v>
      </c>
      <c r="H172" s="86">
        <v>9</v>
      </c>
      <c r="I172" s="87">
        <v>1</v>
      </c>
      <c r="J172" s="86">
        <v>1</v>
      </c>
      <c r="K172" s="86"/>
      <c r="L172" s="87">
        <f>108</f>
        <v>108</v>
      </c>
      <c r="M172" s="87">
        <v>262</v>
      </c>
      <c r="N172" s="1">
        <f t="shared" si="43"/>
        <v>6455.6</v>
      </c>
      <c r="O172" s="3">
        <v>4656.8</v>
      </c>
      <c r="P172" s="4">
        <f>2631.7-0.7-0.6-0.9-0.5-0.8-0.7-0.7-0.6-0.8-0.4-0.6-0.8-0.7-1.4-0.6-0.5</f>
        <v>2620.4</v>
      </c>
      <c r="Q172" s="225"/>
      <c r="R172" s="226"/>
      <c r="S172" s="226">
        <f>30+228.6</f>
        <v>258.60000000000002</v>
      </c>
      <c r="T172" s="226"/>
      <c r="U172" s="226"/>
      <c r="V172" s="6">
        <v>138.80000000000001</v>
      </c>
      <c r="W172" s="6">
        <v>1401.4</v>
      </c>
      <c r="X172" s="6">
        <f t="shared" si="47"/>
        <v>180.44000000000003</v>
      </c>
      <c r="Y172" s="93">
        <f>X172/H172*4+W172/H172*4</f>
        <v>703.04</v>
      </c>
      <c r="Z172" s="93">
        <f t="shared" si="45"/>
        <v>878.80000000000018</v>
      </c>
      <c r="AA172" s="5"/>
      <c r="AB172" s="122">
        <v>75.599999999999994</v>
      </c>
    </row>
    <row r="173" spans="1:28" x14ac:dyDescent="0.3">
      <c r="A173" s="85">
        <f t="shared" si="46"/>
        <v>132</v>
      </c>
      <c r="B173" s="57">
        <v>1991</v>
      </c>
      <c r="C173" s="57" t="s">
        <v>15</v>
      </c>
      <c r="D173" s="91" t="s">
        <v>29</v>
      </c>
      <c r="E173" s="86" t="s">
        <v>95</v>
      </c>
      <c r="F173" s="87" t="s">
        <v>7</v>
      </c>
      <c r="G173" s="87">
        <v>8</v>
      </c>
      <c r="H173" s="87">
        <v>5</v>
      </c>
      <c r="I173" s="87">
        <v>1</v>
      </c>
      <c r="J173" s="87">
        <v>3</v>
      </c>
      <c r="K173" s="87"/>
      <c r="L173" s="87">
        <v>45</v>
      </c>
      <c r="M173" s="87">
        <v>123</v>
      </c>
      <c r="N173" s="1">
        <f t="shared" si="43"/>
        <v>2463.8999999999996</v>
      </c>
      <c r="O173" s="1">
        <f>2220.2-0.5</f>
        <v>2219.6999999999998</v>
      </c>
      <c r="P173" s="89">
        <f>1268-0.4</f>
        <v>1267.5999999999999</v>
      </c>
      <c r="Q173" s="225"/>
      <c r="R173" s="226"/>
      <c r="S173" s="226"/>
      <c r="T173" s="226"/>
      <c r="U173" s="226"/>
      <c r="V173" s="6">
        <v>211.2</v>
      </c>
      <c r="W173" s="6">
        <v>33</v>
      </c>
      <c r="X173" s="6">
        <f t="shared" si="47"/>
        <v>274.56</v>
      </c>
      <c r="Y173" s="93">
        <f>X173/H173*3+W173</f>
        <v>197.73599999999999</v>
      </c>
      <c r="Z173" s="93">
        <f t="shared" si="45"/>
        <v>109.82400000000001</v>
      </c>
      <c r="AA173" s="5"/>
      <c r="AB173" s="122">
        <v>43.2</v>
      </c>
    </row>
    <row r="174" spans="1:28" x14ac:dyDescent="0.3">
      <c r="A174" s="85">
        <f t="shared" si="46"/>
        <v>133</v>
      </c>
      <c r="B174" s="57">
        <v>1991</v>
      </c>
      <c r="C174" s="57" t="s">
        <v>15</v>
      </c>
      <c r="D174" s="91" t="s">
        <v>29</v>
      </c>
      <c r="E174" s="86" t="s">
        <v>96</v>
      </c>
      <c r="F174" s="87" t="s">
        <v>7</v>
      </c>
      <c r="G174" s="87">
        <v>8</v>
      </c>
      <c r="H174" s="87">
        <v>5</v>
      </c>
      <c r="I174" s="87">
        <v>1</v>
      </c>
      <c r="J174" s="87">
        <v>6</v>
      </c>
      <c r="K174" s="87"/>
      <c r="L174" s="87">
        <v>89</v>
      </c>
      <c r="M174" s="87">
        <v>250</v>
      </c>
      <c r="N174" s="1">
        <f t="shared" si="43"/>
        <v>4943.3</v>
      </c>
      <c r="O174" s="3">
        <v>4445.3999999999996</v>
      </c>
      <c r="P174" s="4">
        <f>2559.7-0.1</f>
        <v>2559.6</v>
      </c>
      <c r="Q174" s="225"/>
      <c r="R174" s="226"/>
      <c r="S174" s="226"/>
      <c r="T174" s="226"/>
      <c r="U174" s="226"/>
      <c r="V174" s="6">
        <v>429.1</v>
      </c>
      <c r="W174" s="6">
        <v>68.8</v>
      </c>
      <c r="X174" s="6">
        <f t="shared" si="47"/>
        <v>557.83000000000004</v>
      </c>
      <c r="Y174" s="93">
        <f>X174/H174*3+W174</f>
        <v>403.49799999999999</v>
      </c>
      <c r="Z174" s="93">
        <f t="shared" si="45"/>
        <v>223.13200000000001</v>
      </c>
      <c r="AA174" s="5"/>
      <c r="AB174" s="122">
        <v>86.4</v>
      </c>
    </row>
    <row r="175" spans="1:28" x14ac:dyDescent="0.3">
      <c r="A175" s="85">
        <f t="shared" si="46"/>
        <v>134</v>
      </c>
      <c r="B175" s="57">
        <v>1995</v>
      </c>
      <c r="C175" s="57"/>
      <c r="D175" s="91" t="s">
        <v>25</v>
      </c>
      <c r="E175" s="86">
        <v>26</v>
      </c>
      <c r="F175" s="87" t="s">
        <v>7</v>
      </c>
      <c r="G175" s="87">
        <v>1</v>
      </c>
      <c r="H175" s="87">
        <v>5</v>
      </c>
      <c r="I175" s="87">
        <v>1</v>
      </c>
      <c r="J175" s="87">
        <v>3</v>
      </c>
      <c r="K175" s="87"/>
      <c r="L175" s="87">
        <v>59</v>
      </c>
      <c r="M175" s="87">
        <v>167</v>
      </c>
      <c r="N175" s="1">
        <f t="shared" si="43"/>
        <v>4689.9000000000005</v>
      </c>
      <c r="O175" s="3">
        <v>4135.6000000000004</v>
      </c>
      <c r="P175" s="4">
        <v>3529.8</v>
      </c>
      <c r="Q175" s="225"/>
      <c r="R175" s="226"/>
      <c r="S175" s="226"/>
      <c r="T175" s="226"/>
      <c r="U175" s="226"/>
      <c r="V175" s="6">
        <v>253.1</v>
      </c>
      <c r="W175" s="6">
        <v>301.2</v>
      </c>
      <c r="X175" s="6">
        <f t="shared" si="47"/>
        <v>329.03000000000003</v>
      </c>
      <c r="Y175" s="93">
        <f>X175/H175*3+W175</f>
        <v>498.61800000000005</v>
      </c>
      <c r="Z175" s="93">
        <f t="shared" si="45"/>
        <v>131.61199999999997</v>
      </c>
      <c r="AA175" s="93"/>
      <c r="AB175" s="174"/>
    </row>
    <row r="176" spans="1:28" x14ac:dyDescent="0.3">
      <c r="A176" s="85">
        <f t="shared" si="46"/>
        <v>135</v>
      </c>
      <c r="B176" s="57">
        <v>1994</v>
      </c>
      <c r="C176" s="57"/>
      <c r="D176" s="91" t="s">
        <v>25</v>
      </c>
      <c r="E176" s="86">
        <v>30</v>
      </c>
      <c r="F176" s="87" t="s">
        <v>7</v>
      </c>
      <c r="G176" s="87" t="s">
        <v>205</v>
      </c>
      <c r="H176" s="87">
        <v>5</v>
      </c>
      <c r="I176" s="87">
        <v>1</v>
      </c>
      <c r="J176" s="87">
        <v>4</v>
      </c>
      <c r="K176" s="87"/>
      <c r="L176" s="87">
        <v>60</v>
      </c>
      <c r="M176" s="87">
        <v>145</v>
      </c>
      <c r="N176" s="1">
        <f t="shared" si="43"/>
        <v>3298.3</v>
      </c>
      <c r="O176" s="3">
        <v>2971</v>
      </c>
      <c r="P176" s="4">
        <v>1702.4</v>
      </c>
      <c r="Q176" s="225"/>
      <c r="R176" s="226"/>
      <c r="S176" s="226"/>
      <c r="T176" s="226"/>
      <c r="U176" s="226"/>
      <c r="V176" s="6">
        <v>283</v>
      </c>
      <c r="W176" s="6">
        <v>44.3</v>
      </c>
      <c r="X176" s="6">
        <f t="shared" si="47"/>
        <v>367.90000000000003</v>
      </c>
      <c r="Y176" s="93">
        <f>X176/H176*3+W176</f>
        <v>265.04000000000002</v>
      </c>
      <c r="Z176" s="93">
        <f t="shared" si="45"/>
        <v>147.16000000000003</v>
      </c>
      <c r="AA176" s="93"/>
      <c r="AB176" s="174"/>
    </row>
    <row r="177" spans="1:28" ht="13.5" thickBot="1" x14ac:dyDescent="0.35">
      <c r="A177" s="110"/>
      <c r="B177" s="73"/>
      <c r="C177" s="73"/>
      <c r="D177" s="111" t="s">
        <v>198</v>
      </c>
      <c r="E177" s="86"/>
      <c r="F177" s="86"/>
      <c r="G177" s="86"/>
      <c r="H177" s="86"/>
      <c r="I177" s="108">
        <f>SUM(I153:I176)</f>
        <v>24</v>
      </c>
      <c r="J177" s="108">
        <f>SUM(J153:J176)</f>
        <v>89</v>
      </c>
      <c r="K177" s="108">
        <f>SUM(K153:K174)</f>
        <v>0</v>
      </c>
      <c r="L177" s="108">
        <f t="shared" ref="L177:AB177" si="50">SUM(L153:L176)</f>
        <v>1559</v>
      </c>
      <c r="M177" s="108">
        <f t="shared" si="50"/>
        <v>4702</v>
      </c>
      <c r="N177" s="108">
        <f t="shared" si="50"/>
        <v>93970.799999999988</v>
      </c>
      <c r="O177" s="113">
        <f t="shared" si="50"/>
        <v>80917.8</v>
      </c>
      <c r="P177" s="109">
        <f t="shared" si="50"/>
        <v>48641.100000000006</v>
      </c>
      <c r="Q177" s="235">
        <f t="shared" si="50"/>
        <v>64.7</v>
      </c>
      <c r="R177" s="235">
        <f t="shared" si="50"/>
        <v>0</v>
      </c>
      <c r="S177" s="235">
        <f t="shared" si="50"/>
        <v>783.1</v>
      </c>
      <c r="T177" s="235">
        <f t="shared" si="50"/>
        <v>0</v>
      </c>
      <c r="U177" s="235">
        <f t="shared" si="50"/>
        <v>305.60000000000002</v>
      </c>
      <c r="V177" s="112">
        <f>SUM(V153:V176)</f>
        <v>6600</v>
      </c>
      <c r="W177" s="112">
        <f t="shared" si="50"/>
        <v>5299.5999999999995</v>
      </c>
      <c r="X177" s="112">
        <f t="shared" si="50"/>
        <v>8235.3799999999992</v>
      </c>
      <c r="Y177" s="112">
        <f t="shared" si="50"/>
        <v>7892.1909999999998</v>
      </c>
      <c r="Z177" s="112">
        <f t="shared" si="50"/>
        <v>5642.7889999999998</v>
      </c>
      <c r="AA177" s="112">
        <f t="shared" si="50"/>
        <v>0</v>
      </c>
      <c r="AB177" s="175">
        <f t="shared" si="50"/>
        <v>1448.6</v>
      </c>
    </row>
    <row r="178" spans="1:28" x14ac:dyDescent="0.3">
      <c r="A178" s="85"/>
      <c r="B178" s="57"/>
      <c r="C178" s="57"/>
      <c r="D178" s="86" t="s">
        <v>97</v>
      </c>
      <c r="E178" s="86"/>
      <c r="F178" s="87"/>
      <c r="G178" s="87"/>
      <c r="H178" s="87"/>
      <c r="I178" s="87"/>
      <c r="J178" s="87"/>
      <c r="K178" s="87"/>
      <c r="L178" s="6"/>
      <c r="M178" s="57"/>
      <c r="N178" s="1"/>
      <c r="O178" s="1"/>
      <c r="P178" s="89"/>
      <c r="Q178" s="225"/>
      <c r="R178" s="226"/>
      <c r="S178" s="226"/>
      <c r="T178" s="226"/>
      <c r="U178" s="226"/>
      <c r="V178" s="6"/>
      <c r="W178" s="6"/>
      <c r="X178" s="6"/>
      <c r="Y178" s="124"/>
      <c r="Z178" s="124"/>
      <c r="AA178" s="115"/>
      <c r="AB178" s="116"/>
    </row>
    <row r="179" spans="1:28" x14ac:dyDescent="0.3">
      <c r="A179" s="85">
        <v>136</v>
      </c>
      <c r="B179" s="125">
        <v>1992</v>
      </c>
      <c r="C179" s="57" t="s">
        <v>98</v>
      </c>
      <c r="D179" s="91" t="s">
        <v>99</v>
      </c>
      <c r="E179" s="86">
        <v>3</v>
      </c>
      <c r="F179" s="87" t="s">
        <v>7</v>
      </c>
      <c r="G179" s="87">
        <v>8</v>
      </c>
      <c r="H179" s="87">
        <v>5</v>
      </c>
      <c r="I179" s="87">
        <v>1</v>
      </c>
      <c r="J179" s="87">
        <v>5</v>
      </c>
      <c r="K179" s="87"/>
      <c r="L179" s="57">
        <v>50</v>
      </c>
      <c r="M179" s="87">
        <v>206</v>
      </c>
      <c r="N179" s="1">
        <f t="shared" ref="N179:N224" si="51">O179+Q179+S179+U179+V179+W179</f>
        <v>3957.5</v>
      </c>
      <c r="O179" s="1">
        <v>3551.8</v>
      </c>
      <c r="P179" s="4">
        <f>2298.4-0.3</f>
        <v>2298.1</v>
      </c>
      <c r="Q179" s="225"/>
      <c r="R179" s="226"/>
      <c r="S179" s="226"/>
      <c r="T179" s="226"/>
      <c r="U179" s="226"/>
      <c r="V179" s="6">
        <v>351.7</v>
      </c>
      <c r="W179" s="6">
        <v>54</v>
      </c>
      <c r="X179" s="6">
        <f>V179*1.3</f>
        <v>457.21</v>
      </c>
      <c r="Y179" s="93">
        <f t="shared" ref="Y179:Y196" si="52">X179/H179*3+W179</f>
        <v>328.32599999999996</v>
      </c>
      <c r="Z179" s="93">
        <f>W179+X179-Y179</f>
        <v>182.88400000000001</v>
      </c>
      <c r="AA179" s="95"/>
      <c r="AB179" s="121">
        <v>64.8</v>
      </c>
    </row>
    <row r="180" spans="1:28" x14ac:dyDescent="0.3">
      <c r="A180" s="85">
        <f t="shared" ref="A180:A224" si="53">A179+1</f>
        <v>137</v>
      </c>
      <c r="B180" s="125">
        <v>1992</v>
      </c>
      <c r="C180" s="57" t="s">
        <v>98</v>
      </c>
      <c r="D180" s="91" t="s">
        <v>99</v>
      </c>
      <c r="E180" s="86" t="s">
        <v>85</v>
      </c>
      <c r="F180" s="87" t="s">
        <v>7</v>
      </c>
      <c r="G180" s="87">
        <v>8</v>
      </c>
      <c r="H180" s="87">
        <v>5</v>
      </c>
      <c r="I180" s="87">
        <v>1</v>
      </c>
      <c r="J180" s="87">
        <v>4</v>
      </c>
      <c r="K180" s="87"/>
      <c r="L180" s="57">
        <v>60</v>
      </c>
      <c r="M180" s="87">
        <v>161</v>
      </c>
      <c r="N180" s="1">
        <f t="shared" si="51"/>
        <v>3287.0000000000005</v>
      </c>
      <c r="O180" s="1">
        <f>2962+0.3</f>
        <v>2962.3</v>
      </c>
      <c r="P180" s="4">
        <f>1698.7+0.1</f>
        <v>1698.8</v>
      </c>
      <c r="Q180" s="225"/>
      <c r="R180" s="226"/>
      <c r="S180" s="226"/>
      <c r="T180" s="226"/>
      <c r="U180" s="226"/>
      <c r="V180" s="6">
        <v>280.39999999999998</v>
      </c>
      <c r="W180" s="6">
        <v>44.3</v>
      </c>
      <c r="X180" s="6">
        <f t="shared" ref="X180:X224" si="54">V180*1.3</f>
        <v>364.52</v>
      </c>
      <c r="Y180" s="93">
        <f t="shared" si="52"/>
        <v>263.012</v>
      </c>
      <c r="Z180" s="93">
        <f>W180+X180-Y180</f>
        <v>145.80799999999999</v>
      </c>
      <c r="AA180" s="5"/>
      <c r="AB180" s="122">
        <v>56.2</v>
      </c>
    </row>
    <row r="181" spans="1:28" x14ac:dyDescent="0.3">
      <c r="A181" s="85">
        <f t="shared" si="53"/>
        <v>138</v>
      </c>
      <c r="B181" s="125">
        <v>1992</v>
      </c>
      <c r="C181" s="57" t="s">
        <v>100</v>
      </c>
      <c r="D181" s="91" t="s">
        <v>99</v>
      </c>
      <c r="E181" s="86" t="s">
        <v>101</v>
      </c>
      <c r="F181" s="87" t="s">
        <v>7</v>
      </c>
      <c r="G181" s="87">
        <v>8</v>
      </c>
      <c r="H181" s="87">
        <v>5</v>
      </c>
      <c r="I181" s="87">
        <v>1</v>
      </c>
      <c r="J181" s="87">
        <v>4</v>
      </c>
      <c r="K181" s="87"/>
      <c r="L181" s="57">
        <v>60</v>
      </c>
      <c r="M181" s="87">
        <v>171</v>
      </c>
      <c r="N181" s="1">
        <f t="shared" si="51"/>
        <v>3300.5000000000005</v>
      </c>
      <c r="O181" s="1">
        <f>2977.6-0.2-1</f>
        <v>2976.4</v>
      </c>
      <c r="P181" s="4">
        <f>1708.6-0-0.5</f>
        <v>1708.1</v>
      </c>
      <c r="Q181" s="225"/>
      <c r="R181" s="226"/>
      <c r="S181" s="226"/>
      <c r="T181" s="226"/>
      <c r="U181" s="226"/>
      <c r="V181" s="6">
        <v>279.8</v>
      </c>
      <c r="W181" s="6">
        <v>44.3</v>
      </c>
      <c r="X181" s="6">
        <f t="shared" si="54"/>
        <v>363.74</v>
      </c>
      <c r="Y181" s="93">
        <f t="shared" si="52"/>
        <v>262.54400000000004</v>
      </c>
      <c r="Z181" s="93">
        <f>W181+X181-Y181</f>
        <v>145.49599999999998</v>
      </c>
      <c r="AA181" s="5"/>
      <c r="AB181" s="122">
        <v>70.599999999999994</v>
      </c>
    </row>
    <row r="182" spans="1:28" x14ac:dyDescent="0.3">
      <c r="A182" s="85">
        <f t="shared" si="53"/>
        <v>139</v>
      </c>
      <c r="B182" s="125">
        <v>1992</v>
      </c>
      <c r="C182" s="57" t="s">
        <v>15</v>
      </c>
      <c r="D182" s="91" t="s">
        <v>99</v>
      </c>
      <c r="E182" s="86" t="s">
        <v>102</v>
      </c>
      <c r="F182" s="87" t="s">
        <v>7</v>
      </c>
      <c r="G182" s="86">
        <v>9</v>
      </c>
      <c r="H182" s="87">
        <v>5</v>
      </c>
      <c r="I182" s="87">
        <v>1</v>
      </c>
      <c r="J182" s="87">
        <v>4</v>
      </c>
      <c r="K182" s="87"/>
      <c r="L182" s="57">
        <v>60</v>
      </c>
      <c r="M182" s="87">
        <v>133</v>
      </c>
      <c r="N182" s="1">
        <f t="shared" si="51"/>
        <v>3233.7999999999997</v>
      </c>
      <c r="O182" s="1">
        <v>2964.7</v>
      </c>
      <c r="P182" s="4">
        <f>1814.5-0.9-1-0.6-0.4-0.4-0.3+0.2</f>
        <v>1811.1</v>
      </c>
      <c r="Q182" s="225"/>
      <c r="R182" s="226"/>
      <c r="S182" s="226"/>
      <c r="T182" s="226"/>
      <c r="U182" s="226"/>
      <c r="V182" s="6">
        <v>269.10000000000002</v>
      </c>
      <c r="W182" s="6"/>
      <c r="X182" s="6">
        <f t="shared" si="54"/>
        <v>349.83000000000004</v>
      </c>
      <c r="Y182" s="93">
        <f t="shared" si="52"/>
        <v>209.89800000000002</v>
      </c>
      <c r="Z182" s="93">
        <f>W182+X182-Y182</f>
        <v>139.93200000000002</v>
      </c>
      <c r="AA182" s="5"/>
      <c r="AB182" s="122">
        <v>37.200000000000003</v>
      </c>
    </row>
    <row r="183" spans="1:28" x14ac:dyDescent="0.3">
      <c r="A183" s="85">
        <f t="shared" si="53"/>
        <v>140</v>
      </c>
      <c r="B183" s="125">
        <v>1992</v>
      </c>
      <c r="C183" s="57" t="s">
        <v>98</v>
      </c>
      <c r="D183" s="91" t="s">
        <v>99</v>
      </c>
      <c r="E183" s="86">
        <v>5</v>
      </c>
      <c r="F183" s="87" t="s">
        <v>7</v>
      </c>
      <c r="G183" s="87">
        <v>8</v>
      </c>
      <c r="H183" s="87">
        <v>5</v>
      </c>
      <c r="I183" s="87">
        <v>1</v>
      </c>
      <c r="J183" s="87">
        <v>3</v>
      </c>
      <c r="K183" s="87"/>
      <c r="L183" s="57">
        <v>29</v>
      </c>
      <c r="M183" s="87">
        <v>109</v>
      </c>
      <c r="N183" s="1">
        <f>O183+Q183+S183+U187+V183+W183</f>
        <v>2540.6</v>
      </c>
      <c r="O183" s="1">
        <v>2060.1</v>
      </c>
      <c r="P183" s="4">
        <f>1329.9-0.2+3.3</f>
        <v>1333</v>
      </c>
      <c r="Q183" s="225"/>
      <c r="R183" s="226"/>
      <c r="S183" s="226">
        <v>78.099999999999994</v>
      </c>
      <c r="T183" s="226"/>
      <c r="U183" s="198"/>
      <c r="V183" s="6">
        <v>210.9</v>
      </c>
      <c r="W183" s="6">
        <v>33.799999999999997</v>
      </c>
      <c r="X183" s="6">
        <f t="shared" si="54"/>
        <v>274.17</v>
      </c>
      <c r="Y183" s="93">
        <f t="shared" si="52"/>
        <v>198.30200000000002</v>
      </c>
      <c r="Z183" s="93">
        <f t="shared" ref="Z183:Z224" si="55">W183+X183-Y183</f>
        <v>109.66800000000001</v>
      </c>
      <c r="AA183" s="5"/>
      <c r="AB183" s="122">
        <v>42.1</v>
      </c>
    </row>
    <row r="184" spans="1:28" x14ac:dyDescent="0.3">
      <c r="A184" s="85">
        <f t="shared" si="53"/>
        <v>141</v>
      </c>
      <c r="B184" s="125">
        <v>1991</v>
      </c>
      <c r="C184" s="57" t="s">
        <v>82</v>
      </c>
      <c r="D184" s="91" t="s">
        <v>99</v>
      </c>
      <c r="E184" s="86" t="s">
        <v>103</v>
      </c>
      <c r="F184" s="87" t="s">
        <v>7</v>
      </c>
      <c r="G184" s="87">
        <v>8</v>
      </c>
      <c r="H184" s="87">
        <v>5</v>
      </c>
      <c r="I184" s="87">
        <v>1</v>
      </c>
      <c r="J184" s="87">
        <v>3</v>
      </c>
      <c r="K184" s="87"/>
      <c r="L184" s="57">
        <v>45</v>
      </c>
      <c r="M184" s="87">
        <v>114</v>
      </c>
      <c r="N184" s="1">
        <f t="shared" si="51"/>
        <v>2484.2000000000003</v>
      </c>
      <c r="O184" s="1">
        <v>2237.5</v>
      </c>
      <c r="P184" s="4">
        <v>1278.5999999999999</v>
      </c>
      <c r="Q184" s="225"/>
      <c r="R184" s="226"/>
      <c r="S184" s="226"/>
      <c r="T184" s="226"/>
      <c r="U184" s="226"/>
      <c r="V184" s="6">
        <v>213.3</v>
      </c>
      <c r="W184" s="6">
        <v>33.4</v>
      </c>
      <c r="X184" s="6">
        <f t="shared" si="54"/>
        <v>277.29000000000002</v>
      </c>
      <c r="Y184" s="93">
        <f t="shared" si="52"/>
        <v>199.77400000000003</v>
      </c>
      <c r="Z184" s="93">
        <f t="shared" si="55"/>
        <v>110.91599999999997</v>
      </c>
      <c r="AA184" s="5"/>
      <c r="AB184" s="122">
        <v>43.2</v>
      </c>
    </row>
    <row r="185" spans="1:28" x14ac:dyDescent="0.3">
      <c r="A185" s="85">
        <f t="shared" si="53"/>
        <v>142</v>
      </c>
      <c r="B185" s="125">
        <v>1992</v>
      </c>
      <c r="C185" s="57" t="s">
        <v>82</v>
      </c>
      <c r="D185" s="91" t="s">
        <v>99</v>
      </c>
      <c r="E185" s="86" t="s">
        <v>104</v>
      </c>
      <c r="F185" s="87" t="s">
        <v>7</v>
      </c>
      <c r="G185" s="87">
        <v>8</v>
      </c>
      <c r="H185" s="87">
        <v>5</v>
      </c>
      <c r="I185" s="87">
        <v>1</v>
      </c>
      <c r="J185" s="87">
        <v>3</v>
      </c>
      <c r="K185" s="87"/>
      <c r="L185" s="57">
        <v>45</v>
      </c>
      <c r="M185" s="87">
        <v>123</v>
      </c>
      <c r="N185" s="1">
        <f t="shared" si="51"/>
        <v>2473.1999999999998</v>
      </c>
      <c r="O185" s="1">
        <f>2227.7-0.4</f>
        <v>2227.2999999999997</v>
      </c>
      <c r="P185" s="4">
        <f>1274.5-0.1</f>
        <v>1274.4000000000001</v>
      </c>
      <c r="Q185" s="225"/>
      <c r="R185" s="226"/>
      <c r="S185" s="226"/>
      <c r="T185" s="226"/>
      <c r="U185" s="226"/>
      <c r="V185" s="6">
        <v>212.1</v>
      </c>
      <c r="W185" s="6">
        <v>33.799999999999997</v>
      </c>
      <c r="X185" s="6">
        <f t="shared" si="54"/>
        <v>275.73</v>
      </c>
      <c r="Y185" s="93">
        <f t="shared" si="52"/>
        <v>199.238</v>
      </c>
      <c r="Z185" s="93">
        <f t="shared" si="55"/>
        <v>110.29200000000003</v>
      </c>
      <c r="AA185" s="5"/>
      <c r="AB185" s="122">
        <v>43.2</v>
      </c>
    </row>
    <row r="186" spans="1:28" x14ac:dyDescent="0.3">
      <c r="A186" s="85">
        <f t="shared" si="53"/>
        <v>143</v>
      </c>
      <c r="B186" s="125">
        <v>1992</v>
      </c>
      <c r="C186" s="57" t="s">
        <v>15</v>
      </c>
      <c r="D186" s="91" t="s">
        <v>99</v>
      </c>
      <c r="E186" s="86">
        <v>7</v>
      </c>
      <c r="F186" s="87" t="s">
        <v>7</v>
      </c>
      <c r="G186" s="87">
        <v>8</v>
      </c>
      <c r="H186" s="87">
        <v>5</v>
      </c>
      <c r="I186" s="87">
        <v>1</v>
      </c>
      <c r="J186" s="87">
        <v>4</v>
      </c>
      <c r="K186" s="87"/>
      <c r="L186" s="57">
        <v>60</v>
      </c>
      <c r="M186" s="87">
        <v>149</v>
      </c>
      <c r="N186" s="1">
        <f t="shared" si="51"/>
        <v>3286.0000000000005</v>
      </c>
      <c r="O186" s="1">
        <f>2962.4-0.2-0.2</f>
        <v>2962.0000000000005</v>
      </c>
      <c r="P186" s="89">
        <f>1697.7-0.1-0.1</f>
        <v>1697.5000000000002</v>
      </c>
      <c r="Q186" s="225"/>
      <c r="R186" s="226"/>
      <c r="S186" s="226"/>
      <c r="T186" s="226"/>
      <c r="U186" s="226"/>
      <c r="V186" s="6">
        <v>279.8</v>
      </c>
      <c r="W186" s="6">
        <v>44.2</v>
      </c>
      <c r="X186" s="6">
        <f t="shared" si="54"/>
        <v>363.74</v>
      </c>
      <c r="Y186" s="93">
        <f t="shared" si="52"/>
        <v>262.44400000000002</v>
      </c>
      <c r="Z186" s="93">
        <f t="shared" si="55"/>
        <v>145.49599999999998</v>
      </c>
      <c r="AA186" s="5"/>
      <c r="AB186" s="122">
        <v>60.8</v>
      </c>
    </row>
    <row r="187" spans="1:28" x14ac:dyDescent="0.3">
      <c r="A187" s="85">
        <f t="shared" si="53"/>
        <v>144</v>
      </c>
      <c r="B187" s="125">
        <v>1992</v>
      </c>
      <c r="C187" s="57" t="s">
        <v>98</v>
      </c>
      <c r="D187" s="91" t="s">
        <v>99</v>
      </c>
      <c r="E187" s="86">
        <v>9</v>
      </c>
      <c r="F187" s="87" t="s">
        <v>7</v>
      </c>
      <c r="G187" s="87">
        <v>8</v>
      </c>
      <c r="H187" s="87">
        <v>5</v>
      </c>
      <c r="I187" s="87">
        <v>1</v>
      </c>
      <c r="J187" s="87">
        <v>6</v>
      </c>
      <c r="K187" s="87"/>
      <c r="L187" s="57">
        <v>58</v>
      </c>
      <c r="M187" s="87">
        <v>209</v>
      </c>
      <c r="N187" s="1">
        <f>O187+Q187+S187+V187+W187+U187</f>
        <v>4866</v>
      </c>
      <c r="O187" s="1">
        <v>4138.8</v>
      </c>
      <c r="P187" s="4">
        <f>2654.5-0.5-0.4-0.2+3.8</f>
        <v>2657.2000000000003</v>
      </c>
      <c r="Q187" s="225"/>
      <c r="R187" s="226"/>
      <c r="S187" s="226">
        <v>79.099999999999994</v>
      </c>
      <c r="T187" s="226"/>
      <c r="U187" s="226">
        <f>78.8+78.9</f>
        <v>157.69999999999999</v>
      </c>
      <c r="V187" s="6">
        <v>422.9</v>
      </c>
      <c r="W187" s="6">
        <v>67.5</v>
      </c>
      <c r="X187" s="6">
        <f t="shared" si="54"/>
        <v>549.77</v>
      </c>
      <c r="Y187" s="93">
        <f t="shared" si="52"/>
        <v>397.36199999999997</v>
      </c>
      <c r="Z187" s="93">
        <f t="shared" si="55"/>
        <v>219.90800000000002</v>
      </c>
      <c r="AA187" s="5"/>
      <c r="AB187" s="122">
        <v>84.2</v>
      </c>
    </row>
    <row r="188" spans="1:28" x14ac:dyDescent="0.3">
      <c r="A188" s="85">
        <f t="shared" si="53"/>
        <v>145</v>
      </c>
      <c r="B188" s="125">
        <v>1991</v>
      </c>
      <c r="C188" s="57" t="s">
        <v>57</v>
      </c>
      <c r="D188" s="91" t="s">
        <v>99</v>
      </c>
      <c r="E188" s="86" t="s">
        <v>105</v>
      </c>
      <c r="F188" s="87" t="s">
        <v>7</v>
      </c>
      <c r="G188" s="87">
        <v>8</v>
      </c>
      <c r="H188" s="87">
        <v>5</v>
      </c>
      <c r="I188" s="87">
        <v>1</v>
      </c>
      <c r="J188" s="87">
        <v>5</v>
      </c>
      <c r="K188" s="87"/>
      <c r="L188" s="57">
        <v>75</v>
      </c>
      <c r="M188" s="87">
        <v>208</v>
      </c>
      <c r="N188" s="1">
        <f t="shared" si="51"/>
        <v>4128.5</v>
      </c>
      <c r="O188" s="1">
        <v>3686.5</v>
      </c>
      <c r="P188" s="4">
        <f>2111.5-0.2-0.1-0.4-0.1+2.8</f>
        <v>2113.5000000000005</v>
      </c>
      <c r="Q188" s="225"/>
      <c r="R188" s="226"/>
      <c r="S188" s="226">
        <v>34.4</v>
      </c>
      <c r="T188" s="226"/>
      <c r="U188" s="226"/>
      <c r="V188" s="6">
        <v>353.2</v>
      </c>
      <c r="W188" s="6">
        <v>54.4</v>
      </c>
      <c r="X188" s="6">
        <f t="shared" si="54"/>
        <v>459.16</v>
      </c>
      <c r="Y188" s="93">
        <f t="shared" si="52"/>
        <v>329.89600000000002</v>
      </c>
      <c r="Z188" s="93">
        <f t="shared" si="55"/>
        <v>183.66400000000004</v>
      </c>
      <c r="AA188" s="5"/>
      <c r="AB188" s="122">
        <v>70.2</v>
      </c>
    </row>
    <row r="189" spans="1:28" x14ac:dyDescent="0.3">
      <c r="A189" s="85">
        <f t="shared" si="53"/>
        <v>146</v>
      </c>
      <c r="B189" s="125">
        <v>1991</v>
      </c>
      <c r="C189" s="57" t="s">
        <v>57</v>
      </c>
      <c r="D189" s="91" t="s">
        <v>99</v>
      </c>
      <c r="E189" s="86" t="s">
        <v>106</v>
      </c>
      <c r="F189" s="87" t="s">
        <v>7</v>
      </c>
      <c r="G189" s="87">
        <v>8</v>
      </c>
      <c r="H189" s="87">
        <v>5</v>
      </c>
      <c r="I189" s="87">
        <v>1</v>
      </c>
      <c r="J189" s="87">
        <v>4</v>
      </c>
      <c r="K189" s="87"/>
      <c r="L189" s="57">
        <v>60</v>
      </c>
      <c r="M189" s="87">
        <v>176</v>
      </c>
      <c r="N189" s="1">
        <f t="shared" si="51"/>
        <v>3303.0999999999995</v>
      </c>
      <c r="O189" s="1">
        <v>2978.7</v>
      </c>
      <c r="P189" s="4">
        <f>1711.1-0.1</f>
        <v>1711</v>
      </c>
      <c r="Q189" s="225"/>
      <c r="R189" s="226"/>
      <c r="S189" s="226"/>
      <c r="T189" s="226"/>
      <c r="U189" s="226"/>
      <c r="V189" s="6">
        <v>280.2</v>
      </c>
      <c r="W189" s="6">
        <v>44.2</v>
      </c>
      <c r="X189" s="6">
        <f t="shared" si="54"/>
        <v>364.26</v>
      </c>
      <c r="Y189" s="93">
        <f t="shared" si="52"/>
        <v>262.75600000000003</v>
      </c>
      <c r="Z189" s="93">
        <f t="shared" si="55"/>
        <v>145.70399999999995</v>
      </c>
      <c r="AA189" s="5"/>
      <c r="AB189" s="122">
        <v>67.2</v>
      </c>
    </row>
    <row r="190" spans="1:28" x14ac:dyDescent="0.3">
      <c r="A190" s="85">
        <f t="shared" si="53"/>
        <v>147</v>
      </c>
      <c r="B190" s="125">
        <v>1991</v>
      </c>
      <c r="C190" s="57" t="s">
        <v>57</v>
      </c>
      <c r="D190" s="91" t="s">
        <v>99</v>
      </c>
      <c r="E190" s="86" t="s">
        <v>107</v>
      </c>
      <c r="F190" s="87" t="s">
        <v>7</v>
      </c>
      <c r="G190" s="87">
        <v>8</v>
      </c>
      <c r="H190" s="87">
        <v>5</v>
      </c>
      <c r="I190" s="87">
        <v>1</v>
      </c>
      <c r="J190" s="87">
        <v>6</v>
      </c>
      <c r="K190" s="87"/>
      <c r="L190" s="57">
        <v>90</v>
      </c>
      <c r="M190" s="87">
        <v>267</v>
      </c>
      <c r="N190" s="1">
        <f t="shared" si="51"/>
        <v>4967.9000000000005</v>
      </c>
      <c r="O190" s="1">
        <v>4475.1000000000004</v>
      </c>
      <c r="P190" s="4">
        <f>2579.5-0.2-0.3-0.4-0.4-0.2-0.3</f>
        <v>2577.6999999999998</v>
      </c>
      <c r="Q190" s="225"/>
      <c r="R190" s="226"/>
      <c r="S190" s="226"/>
      <c r="T190" s="226"/>
      <c r="U190" s="226"/>
      <c r="V190" s="6">
        <v>424.3</v>
      </c>
      <c r="W190" s="6">
        <v>68.5</v>
      </c>
      <c r="X190" s="6">
        <f t="shared" si="54"/>
        <v>551.59</v>
      </c>
      <c r="Y190" s="93">
        <f t="shared" si="52"/>
        <v>399.45400000000006</v>
      </c>
      <c r="Z190" s="93">
        <f t="shared" si="55"/>
        <v>220.63599999999997</v>
      </c>
      <c r="AA190" s="5"/>
      <c r="AB190" s="122">
        <v>49.1</v>
      </c>
    </row>
    <row r="191" spans="1:28" x14ac:dyDescent="0.3">
      <c r="A191" s="85">
        <f t="shared" si="53"/>
        <v>148</v>
      </c>
      <c r="B191" s="125">
        <v>1991</v>
      </c>
      <c r="C191" s="57" t="s">
        <v>57</v>
      </c>
      <c r="D191" s="91" t="s">
        <v>99</v>
      </c>
      <c r="E191" s="86" t="s">
        <v>108</v>
      </c>
      <c r="F191" s="87" t="s">
        <v>7</v>
      </c>
      <c r="G191" s="87">
        <v>8</v>
      </c>
      <c r="H191" s="87">
        <v>5</v>
      </c>
      <c r="I191" s="87">
        <v>1</v>
      </c>
      <c r="J191" s="87">
        <v>3</v>
      </c>
      <c r="K191" s="87"/>
      <c r="L191" s="57">
        <v>45</v>
      </c>
      <c r="M191" s="87">
        <v>101</v>
      </c>
      <c r="N191" s="1">
        <f t="shared" si="51"/>
        <v>2477.3999999999996</v>
      </c>
      <c r="O191" s="1">
        <f>2234.2+0.1</f>
        <v>2234.2999999999997</v>
      </c>
      <c r="P191" s="4">
        <v>1281.2</v>
      </c>
      <c r="Q191" s="225"/>
      <c r="R191" s="226"/>
      <c r="S191" s="226"/>
      <c r="T191" s="226"/>
      <c r="U191" s="226"/>
      <c r="V191" s="6">
        <v>209.6</v>
      </c>
      <c r="W191" s="6">
        <v>33.5</v>
      </c>
      <c r="X191" s="6">
        <f t="shared" si="54"/>
        <v>272.48</v>
      </c>
      <c r="Y191" s="93">
        <f t="shared" si="52"/>
        <v>196.988</v>
      </c>
      <c r="Z191" s="93">
        <f t="shared" si="55"/>
        <v>108.99200000000002</v>
      </c>
      <c r="AA191" s="5"/>
      <c r="AB191" s="122">
        <v>86.4</v>
      </c>
    </row>
    <row r="192" spans="1:28" ht="15" customHeight="1" x14ac:dyDescent="0.3">
      <c r="A192" s="85">
        <f t="shared" si="53"/>
        <v>149</v>
      </c>
      <c r="B192" s="125">
        <v>1992</v>
      </c>
      <c r="C192" s="57" t="s">
        <v>98</v>
      </c>
      <c r="D192" s="91" t="s">
        <v>99</v>
      </c>
      <c r="E192" s="86">
        <v>13</v>
      </c>
      <c r="F192" s="87" t="s">
        <v>7</v>
      </c>
      <c r="G192" s="87">
        <v>8</v>
      </c>
      <c r="H192" s="87">
        <v>5</v>
      </c>
      <c r="I192" s="87">
        <v>1</v>
      </c>
      <c r="J192" s="87">
        <v>5</v>
      </c>
      <c r="K192" s="87"/>
      <c r="L192" s="57">
        <v>49</v>
      </c>
      <c r="M192" s="87">
        <v>175</v>
      </c>
      <c r="N192" s="1">
        <f t="shared" si="51"/>
        <v>3968.2</v>
      </c>
      <c r="O192" s="1">
        <f>3547.5-78.1</f>
        <v>3469.4</v>
      </c>
      <c r="P192" s="4">
        <f>2246-0.1+0.4</f>
        <v>2246.3000000000002</v>
      </c>
      <c r="Q192" s="225"/>
      <c r="R192" s="226"/>
      <c r="S192" s="226">
        <v>78.099999999999994</v>
      </c>
      <c r="T192" s="226"/>
      <c r="U192" s="226"/>
      <c r="V192" s="6">
        <v>365.6</v>
      </c>
      <c r="W192" s="6">
        <v>55.1</v>
      </c>
      <c r="X192" s="6">
        <f t="shared" si="54"/>
        <v>475.28000000000003</v>
      </c>
      <c r="Y192" s="93">
        <f t="shared" si="52"/>
        <v>340.26800000000003</v>
      </c>
      <c r="Z192" s="93">
        <f t="shared" si="55"/>
        <v>190.11199999999997</v>
      </c>
      <c r="AA192" s="5"/>
      <c r="AB192" s="122">
        <v>86.4</v>
      </c>
    </row>
    <row r="193" spans="1:28" x14ac:dyDescent="0.3">
      <c r="A193" s="85">
        <f t="shared" si="53"/>
        <v>150</v>
      </c>
      <c r="B193" s="125">
        <v>1991</v>
      </c>
      <c r="C193" s="57" t="s">
        <v>57</v>
      </c>
      <c r="D193" s="91" t="s">
        <v>99</v>
      </c>
      <c r="E193" s="86" t="s">
        <v>109</v>
      </c>
      <c r="F193" s="87" t="s">
        <v>7</v>
      </c>
      <c r="G193" s="87">
        <v>8</v>
      </c>
      <c r="H193" s="87">
        <v>5</v>
      </c>
      <c r="I193" s="87">
        <v>1</v>
      </c>
      <c r="J193" s="87">
        <v>4</v>
      </c>
      <c r="K193" s="87"/>
      <c r="L193" s="57">
        <v>60</v>
      </c>
      <c r="M193" s="87">
        <v>157</v>
      </c>
      <c r="N193" s="1">
        <f t="shared" si="51"/>
        <v>3290.5000000000005</v>
      </c>
      <c r="O193" s="1">
        <v>2965.8</v>
      </c>
      <c r="P193" s="4">
        <f>1710.8+0.1</f>
        <v>1710.8999999999999</v>
      </c>
      <c r="Q193" s="225"/>
      <c r="R193" s="226"/>
      <c r="S193" s="226"/>
      <c r="T193" s="226"/>
      <c r="U193" s="226"/>
      <c r="V193" s="6">
        <v>280.3</v>
      </c>
      <c r="W193" s="6">
        <v>44.4</v>
      </c>
      <c r="X193" s="6">
        <f t="shared" si="54"/>
        <v>364.39000000000004</v>
      </c>
      <c r="Y193" s="93">
        <f t="shared" si="52"/>
        <v>263.03400000000005</v>
      </c>
      <c r="Z193" s="93">
        <f t="shared" si="55"/>
        <v>145.75599999999997</v>
      </c>
      <c r="AA193" s="5"/>
      <c r="AB193" s="122">
        <v>65.5</v>
      </c>
    </row>
    <row r="194" spans="1:28" x14ac:dyDescent="0.3">
      <c r="A194" s="85">
        <f t="shared" si="53"/>
        <v>151</v>
      </c>
      <c r="B194" s="125">
        <v>1995</v>
      </c>
      <c r="C194" s="57" t="s">
        <v>28</v>
      </c>
      <c r="D194" s="91" t="s">
        <v>99</v>
      </c>
      <c r="E194" s="86" t="s">
        <v>39</v>
      </c>
      <c r="F194" s="87" t="s">
        <v>7</v>
      </c>
      <c r="G194" s="86">
        <v>9</v>
      </c>
      <c r="H194" s="87">
        <v>5</v>
      </c>
      <c r="I194" s="87">
        <v>1</v>
      </c>
      <c r="J194" s="87">
        <v>5</v>
      </c>
      <c r="K194" s="87"/>
      <c r="L194" s="57">
        <v>50</v>
      </c>
      <c r="M194" s="87">
        <v>164</v>
      </c>
      <c r="N194" s="1">
        <f t="shared" si="51"/>
        <v>4070.2999999999997</v>
      </c>
      <c r="O194" s="1">
        <v>3722.6</v>
      </c>
      <c r="P194" s="4">
        <f>2553.3+0.3-0.3</f>
        <v>2553.3000000000002</v>
      </c>
      <c r="Q194" s="225"/>
      <c r="R194" s="226"/>
      <c r="S194" s="226"/>
      <c r="T194" s="226"/>
      <c r="U194" s="226"/>
      <c r="V194" s="6">
        <v>347.7</v>
      </c>
      <c r="W194" s="6"/>
      <c r="X194" s="6">
        <f t="shared" si="54"/>
        <v>452.01</v>
      </c>
      <c r="Y194" s="93">
        <f t="shared" si="52"/>
        <v>271.20600000000002</v>
      </c>
      <c r="Z194" s="93">
        <f t="shared" si="55"/>
        <v>180.80399999999997</v>
      </c>
      <c r="AA194" s="5"/>
      <c r="AB194" s="122">
        <v>80.7</v>
      </c>
    </row>
    <row r="195" spans="1:28" x14ac:dyDescent="0.3">
      <c r="A195" s="85">
        <f t="shared" si="53"/>
        <v>152</v>
      </c>
      <c r="B195" s="125">
        <v>1993</v>
      </c>
      <c r="C195" s="57" t="s">
        <v>110</v>
      </c>
      <c r="D195" s="91" t="s">
        <v>99</v>
      </c>
      <c r="E195" s="86">
        <v>17</v>
      </c>
      <c r="F195" s="87" t="s">
        <v>7</v>
      </c>
      <c r="G195" s="87">
        <v>8</v>
      </c>
      <c r="H195" s="87">
        <v>5</v>
      </c>
      <c r="I195" s="87">
        <v>1</v>
      </c>
      <c r="J195" s="87">
        <v>5</v>
      </c>
      <c r="K195" s="87"/>
      <c r="L195" s="57">
        <v>49</v>
      </c>
      <c r="M195" s="87">
        <v>168</v>
      </c>
      <c r="N195" s="1">
        <f t="shared" si="51"/>
        <v>3916.7</v>
      </c>
      <c r="O195" s="1">
        <v>3427.1</v>
      </c>
      <c r="P195" s="4">
        <v>2259.4</v>
      </c>
      <c r="Q195" s="225"/>
      <c r="R195" s="226"/>
      <c r="S195" s="226">
        <v>78.2</v>
      </c>
      <c r="T195" s="226"/>
      <c r="U195" s="226"/>
      <c r="V195" s="104">
        <v>355.8</v>
      </c>
      <c r="W195" s="6">
        <v>55.6</v>
      </c>
      <c r="X195" s="6">
        <f t="shared" si="54"/>
        <v>462.54</v>
      </c>
      <c r="Y195" s="93">
        <f t="shared" si="52"/>
        <v>333.12400000000002</v>
      </c>
      <c r="Z195" s="93">
        <f t="shared" si="55"/>
        <v>185.01599999999996</v>
      </c>
      <c r="AA195" s="5"/>
      <c r="AB195" s="122">
        <v>70.2</v>
      </c>
    </row>
    <row r="196" spans="1:28" x14ac:dyDescent="0.3">
      <c r="A196" s="85">
        <f t="shared" si="53"/>
        <v>153</v>
      </c>
      <c r="B196" s="125">
        <v>1993</v>
      </c>
      <c r="C196" s="57" t="s">
        <v>110</v>
      </c>
      <c r="D196" s="91" t="s">
        <v>99</v>
      </c>
      <c r="E196" s="86" t="s">
        <v>111</v>
      </c>
      <c r="F196" s="87" t="s">
        <v>7</v>
      </c>
      <c r="G196" s="87">
        <v>8</v>
      </c>
      <c r="H196" s="87">
        <v>5</v>
      </c>
      <c r="I196" s="87">
        <v>1</v>
      </c>
      <c r="J196" s="87">
        <v>4</v>
      </c>
      <c r="K196" s="87"/>
      <c r="L196" s="57">
        <v>60</v>
      </c>
      <c r="M196" s="87">
        <v>159</v>
      </c>
      <c r="N196" s="1">
        <f t="shared" si="51"/>
        <v>3301</v>
      </c>
      <c r="O196" s="1">
        <v>2975.2</v>
      </c>
      <c r="P196" s="4">
        <f>1704.6-0.3</f>
        <v>1704.3</v>
      </c>
      <c r="Q196" s="225"/>
      <c r="R196" s="226"/>
      <c r="S196" s="226"/>
      <c r="T196" s="226"/>
      <c r="U196" s="226"/>
      <c r="V196" s="6">
        <v>281.5</v>
      </c>
      <c r="W196" s="6">
        <v>44.3</v>
      </c>
      <c r="X196" s="6">
        <f t="shared" si="54"/>
        <v>365.95</v>
      </c>
      <c r="Y196" s="93">
        <f t="shared" si="52"/>
        <v>263.87</v>
      </c>
      <c r="Z196" s="93">
        <f t="shared" si="55"/>
        <v>146.38</v>
      </c>
      <c r="AA196" s="5"/>
      <c r="AB196" s="122">
        <v>56.2</v>
      </c>
    </row>
    <row r="197" spans="1:28" x14ac:dyDescent="0.3">
      <c r="A197" s="85">
        <f t="shared" si="53"/>
        <v>154</v>
      </c>
      <c r="B197" s="125">
        <v>1993</v>
      </c>
      <c r="C197" s="57" t="s">
        <v>110</v>
      </c>
      <c r="D197" s="91" t="s">
        <v>99</v>
      </c>
      <c r="E197" s="86" t="s">
        <v>40</v>
      </c>
      <c r="F197" s="87" t="s">
        <v>7</v>
      </c>
      <c r="G197" s="87">
        <v>8</v>
      </c>
      <c r="H197" s="87">
        <v>5</v>
      </c>
      <c r="I197" s="87">
        <v>1</v>
      </c>
      <c r="J197" s="87">
        <v>3</v>
      </c>
      <c r="K197" s="87"/>
      <c r="L197" s="57">
        <v>30</v>
      </c>
      <c r="M197" s="87">
        <v>109</v>
      </c>
      <c r="N197" s="1">
        <f>O197+Q197+S197+U197+V197+W197</f>
        <v>2410.1900000000005</v>
      </c>
      <c r="O197" s="1">
        <v>2030.39</v>
      </c>
      <c r="P197" s="4">
        <v>1386.1</v>
      </c>
      <c r="Q197" s="198"/>
      <c r="R197" s="226"/>
      <c r="S197" s="225">
        <f>78.7+53.3</f>
        <v>132</v>
      </c>
      <c r="T197" s="226"/>
      <c r="U197" s="225"/>
      <c r="V197" s="6">
        <v>214.5</v>
      </c>
      <c r="W197" s="6">
        <v>33.299999999999997</v>
      </c>
      <c r="X197" s="6">
        <f t="shared" si="54"/>
        <v>278.85000000000002</v>
      </c>
      <c r="Y197" s="93">
        <f>X197/H197*3+W197</f>
        <v>200.61</v>
      </c>
      <c r="Z197" s="93">
        <f t="shared" si="55"/>
        <v>111.54000000000002</v>
      </c>
      <c r="AA197" s="5"/>
      <c r="AB197" s="122">
        <v>42.1</v>
      </c>
    </row>
    <row r="198" spans="1:28" x14ac:dyDescent="0.3">
      <c r="A198" s="85">
        <f t="shared" si="53"/>
        <v>155</v>
      </c>
      <c r="B198" s="125">
        <v>1994</v>
      </c>
      <c r="C198" s="57" t="s">
        <v>112</v>
      </c>
      <c r="D198" s="91" t="s">
        <v>99</v>
      </c>
      <c r="E198" s="86">
        <v>21</v>
      </c>
      <c r="F198" s="87" t="s">
        <v>7</v>
      </c>
      <c r="G198" s="87">
        <v>8</v>
      </c>
      <c r="H198" s="87">
        <v>5</v>
      </c>
      <c r="I198" s="87">
        <v>1</v>
      </c>
      <c r="J198" s="87">
        <v>6</v>
      </c>
      <c r="K198" s="87"/>
      <c r="L198" s="57">
        <v>59</v>
      </c>
      <c r="M198" s="87">
        <v>212</v>
      </c>
      <c r="N198" s="1">
        <f t="shared" si="51"/>
        <v>4796.7</v>
      </c>
      <c r="O198" s="1">
        <f>4236.6+0.5</f>
        <v>4237.1000000000004</v>
      </c>
      <c r="P198" s="4">
        <f>2776.3-17.4-35.2-0.8</f>
        <v>2722.9</v>
      </c>
      <c r="Q198" s="225"/>
      <c r="R198" s="226"/>
      <c r="S198" s="226">
        <v>80.400000000000006</v>
      </c>
      <c r="T198" s="226"/>
      <c r="U198" s="226"/>
      <c r="V198" s="6">
        <v>411.9</v>
      </c>
      <c r="W198" s="6">
        <v>67.3</v>
      </c>
      <c r="X198" s="6">
        <f t="shared" si="54"/>
        <v>535.47</v>
      </c>
      <c r="Y198" s="93">
        <f>X198/H198*3+W198</f>
        <v>388.58200000000005</v>
      </c>
      <c r="Z198" s="93">
        <f t="shared" si="55"/>
        <v>214.18799999999993</v>
      </c>
      <c r="AA198" s="5"/>
      <c r="AB198" s="122">
        <v>79.56</v>
      </c>
    </row>
    <row r="199" spans="1:28" x14ac:dyDescent="0.3">
      <c r="A199" s="85">
        <f t="shared" si="53"/>
        <v>156</v>
      </c>
      <c r="B199" s="125">
        <v>1993</v>
      </c>
      <c r="C199" s="57" t="s">
        <v>113</v>
      </c>
      <c r="D199" s="91" t="s">
        <v>99</v>
      </c>
      <c r="E199" s="86" t="s">
        <v>41</v>
      </c>
      <c r="F199" s="87" t="s">
        <v>7</v>
      </c>
      <c r="G199" s="87">
        <v>8</v>
      </c>
      <c r="H199" s="87">
        <v>5</v>
      </c>
      <c r="I199" s="87">
        <v>1</v>
      </c>
      <c r="J199" s="87">
        <v>4</v>
      </c>
      <c r="K199" s="87"/>
      <c r="L199" s="57">
        <v>60</v>
      </c>
      <c r="M199" s="87">
        <v>172</v>
      </c>
      <c r="N199" s="1">
        <f t="shared" si="51"/>
        <v>3329.7999999999997</v>
      </c>
      <c r="O199" s="1">
        <v>3002.2</v>
      </c>
      <c r="P199" s="4">
        <f>1722.1-0.5</f>
        <v>1721.6</v>
      </c>
      <c r="Q199" s="225"/>
      <c r="R199" s="226"/>
      <c r="S199" s="226"/>
      <c r="T199" s="226"/>
      <c r="U199" s="226"/>
      <c r="V199" s="6">
        <v>283.39999999999998</v>
      </c>
      <c r="W199" s="6">
        <v>44.2</v>
      </c>
      <c r="X199" s="6">
        <f t="shared" si="54"/>
        <v>368.41999999999996</v>
      </c>
      <c r="Y199" s="93">
        <f>X199/H199*3+W199</f>
        <v>265.25200000000001</v>
      </c>
      <c r="Z199" s="93">
        <f t="shared" si="55"/>
        <v>147.36799999999994</v>
      </c>
      <c r="AA199" s="5"/>
      <c r="AB199" s="122">
        <v>56.2</v>
      </c>
    </row>
    <row r="200" spans="1:28" x14ac:dyDescent="0.3">
      <c r="A200" s="85">
        <f t="shared" si="53"/>
        <v>157</v>
      </c>
      <c r="B200" s="125">
        <v>1993</v>
      </c>
      <c r="C200" s="57" t="s">
        <v>110</v>
      </c>
      <c r="D200" s="91" t="s">
        <v>99</v>
      </c>
      <c r="E200" s="86" t="s">
        <v>114</v>
      </c>
      <c r="F200" s="87" t="s">
        <v>7</v>
      </c>
      <c r="G200" s="87">
        <v>8</v>
      </c>
      <c r="H200" s="87">
        <v>5</v>
      </c>
      <c r="I200" s="87">
        <v>1</v>
      </c>
      <c r="J200" s="87">
        <v>3</v>
      </c>
      <c r="K200" s="87"/>
      <c r="L200" s="57">
        <v>45</v>
      </c>
      <c r="M200" s="87">
        <v>117</v>
      </c>
      <c r="N200" s="1">
        <f t="shared" si="51"/>
        <v>2492.4</v>
      </c>
      <c r="O200" s="1">
        <v>2244.5</v>
      </c>
      <c r="P200" s="4">
        <f>1288.5-0.5</f>
        <v>1288</v>
      </c>
      <c r="Q200" s="225"/>
      <c r="R200" s="226"/>
      <c r="S200" s="226"/>
      <c r="T200" s="226"/>
      <c r="U200" s="226"/>
      <c r="V200" s="6">
        <v>214.8</v>
      </c>
      <c r="W200" s="6">
        <v>33.1</v>
      </c>
      <c r="X200" s="6">
        <f t="shared" si="54"/>
        <v>279.24</v>
      </c>
      <c r="Y200" s="93">
        <f>X200/H200*3+W200</f>
        <v>200.64399999999998</v>
      </c>
      <c r="Z200" s="93">
        <f t="shared" si="55"/>
        <v>111.69600000000005</v>
      </c>
      <c r="AA200" s="5"/>
      <c r="AB200" s="122">
        <v>42.1</v>
      </c>
    </row>
    <row r="201" spans="1:28" x14ac:dyDescent="0.3">
      <c r="A201" s="85">
        <f t="shared" si="53"/>
        <v>158</v>
      </c>
      <c r="B201" s="125">
        <v>1997</v>
      </c>
      <c r="C201" s="57" t="s">
        <v>115</v>
      </c>
      <c r="D201" s="91" t="s">
        <v>116</v>
      </c>
      <c r="E201" s="86">
        <v>20</v>
      </c>
      <c r="F201" s="87" t="s">
        <v>7</v>
      </c>
      <c r="G201" s="86">
        <v>1</v>
      </c>
      <c r="H201" s="126" t="s">
        <v>117</v>
      </c>
      <c r="I201" s="87">
        <v>1</v>
      </c>
      <c r="J201" s="92">
        <v>2</v>
      </c>
      <c r="K201" s="92"/>
      <c r="L201" s="57">
        <v>48</v>
      </c>
      <c r="M201" s="87">
        <v>114</v>
      </c>
      <c r="N201" s="1">
        <f t="shared" si="51"/>
        <v>3622.7</v>
      </c>
      <c r="O201" s="1">
        <v>3191.2</v>
      </c>
      <c r="P201" s="89">
        <f>1738.2+0.3+9.5-0.3+8.7</f>
        <v>1756.4</v>
      </c>
      <c r="Q201" s="225"/>
      <c r="R201" s="226"/>
      <c r="S201" s="226">
        <f>96.9+60.7</f>
        <v>157.60000000000002</v>
      </c>
      <c r="T201" s="226"/>
      <c r="U201" s="226"/>
      <c r="V201" s="6">
        <v>183.8</v>
      </c>
      <c r="W201" s="6">
        <v>90.1</v>
      </c>
      <c r="X201" s="6">
        <f t="shared" si="54"/>
        <v>238.94000000000003</v>
      </c>
      <c r="Y201" s="93">
        <f>X201/5*3+2.9+2.9+3.2+3.2+3.9+4+(90.1-2.9-2.9-3.2-3.2-3.9-4)/5*2</f>
        <v>191.464</v>
      </c>
      <c r="Z201" s="93">
        <f t="shared" si="55"/>
        <v>137.57600000000002</v>
      </c>
      <c r="AA201" s="5"/>
      <c r="AB201" s="122">
        <v>249.1</v>
      </c>
    </row>
    <row r="202" spans="1:28" x14ac:dyDescent="0.3">
      <c r="A202" s="85">
        <f t="shared" si="53"/>
        <v>159</v>
      </c>
      <c r="B202" s="125">
        <v>1996</v>
      </c>
      <c r="C202" s="57" t="s">
        <v>118</v>
      </c>
      <c r="D202" s="91" t="s">
        <v>116</v>
      </c>
      <c r="E202" s="86" t="s">
        <v>119</v>
      </c>
      <c r="F202" s="87" t="s">
        <v>7</v>
      </c>
      <c r="G202" s="86">
        <v>1</v>
      </c>
      <c r="H202" s="86">
        <v>9</v>
      </c>
      <c r="I202" s="87">
        <v>1</v>
      </c>
      <c r="J202" s="86">
        <v>2</v>
      </c>
      <c r="K202" s="86"/>
      <c r="L202" s="57">
        <v>68</v>
      </c>
      <c r="M202" s="87">
        <v>206</v>
      </c>
      <c r="N202" s="1">
        <f t="shared" si="51"/>
        <v>5419</v>
      </c>
      <c r="O202" s="1">
        <v>4713.3999999999996</v>
      </c>
      <c r="P202" s="89">
        <f>2606.2+0-0.1+0.1-8.4-0.3</f>
        <v>2597.4999999999995</v>
      </c>
      <c r="Q202" s="225"/>
      <c r="R202" s="226"/>
      <c r="S202" s="226">
        <f>44.3+38+99.8+56.2</f>
        <v>238.3</v>
      </c>
      <c r="T202" s="226"/>
      <c r="U202" s="226"/>
      <c r="V202" s="6">
        <v>264.10000000000002</v>
      </c>
      <c r="W202" s="6">
        <v>203.2</v>
      </c>
      <c r="X202" s="6">
        <f t="shared" si="54"/>
        <v>343.33000000000004</v>
      </c>
      <c r="Y202" s="93">
        <f>X202/H202*4+21.1+20.5+20.2/8*3</f>
        <v>201.76611111111112</v>
      </c>
      <c r="Z202" s="93">
        <f t="shared" si="55"/>
        <v>344.76388888888886</v>
      </c>
      <c r="AA202" s="5"/>
      <c r="AB202" s="122">
        <v>407.4</v>
      </c>
    </row>
    <row r="203" spans="1:28" x14ac:dyDescent="0.3">
      <c r="A203" s="85">
        <f t="shared" si="53"/>
        <v>160</v>
      </c>
      <c r="B203" s="125">
        <v>1993</v>
      </c>
      <c r="C203" s="57" t="s">
        <v>120</v>
      </c>
      <c r="D203" s="91" t="s">
        <v>84</v>
      </c>
      <c r="E203" s="86">
        <v>26</v>
      </c>
      <c r="F203" s="87" t="s">
        <v>7</v>
      </c>
      <c r="G203" s="87">
        <v>8</v>
      </c>
      <c r="H203" s="87">
        <v>5</v>
      </c>
      <c r="I203" s="87">
        <v>1</v>
      </c>
      <c r="J203" s="87">
        <v>5</v>
      </c>
      <c r="K203" s="87"/>
      <c r="L203" s="57">
        <v>74</v>
      </c>
      <c r="M203" s="87">
        <v>222</v>
      </c>
      <c r="N203" s="1">
        <f t="shared" si="51"/>
        <v>4130</v>
      </c>
      <c r="O203" s="1">
        <v>3684.6</v>
      </c>
      <c r="P203" s="4">
        <f>2113.4-0.2-0.2</f>
        <v>2113.0000000000005</v>
      </c>
      <c r="Q203" s="225"/>
      <c r="R203" s="226"/>
      <c r="S203" s="226">
        <v>39.5</v>
      </c>
      <c r="T203" s="226"/>
      <c r="U203" s="226"/>
      <c r="V203" s="6">
        <v>350.2</v>
      </c>
      <c r="W203" s="6">
        <v>55.7</v>
      </c>
      <c r="X203" s="6">
        <f t="shared" si="54"/>
        <v>455.26</v>
      </c>
      <c r="Y203" s="93">
        <f t="shared" ref="Y203:Y210" si="56">X203/H203*3+W203</f>
        <v>328.85599999999994</v>
      </c>
      <c r="Z203" s="93">
        <f>W203+X203-Y203</f>
        <v>182.10400000000004</v>
      </c>
      <c r="AA203" s="5"/>
      <c r="AB203" s="122">
        <v>64.8</v>
      </c>
    </row>
    <row r="204" spans="1:28" x14ac:dyDescent="0.3">
      <c r="A204" s="85">
        <f t="shared" si="53"/>
        <v>161</v>
      </c>
      <c r="B204" s="125">
        <v>1993</v>
      </c>
      <c r="C204" s="57" t="s">
        <v>120</v>
      </c>
      <c r="D204" s="91" t="s">
        <v>84</v>
      </c>
      <c r="E204" s="86">
        <v>30</v>
      </c>
      <c r="F204" s="87" t="s">
        <v>7</v>
      </c>
      <c r="G204" s="87">
        <v>8</v>
      </c>
      <c r="H204" s="87">
        <v>5</v>
      </c>
      <c r="I204" s="87">
        <v>1</v>
      </c>
      <c r="J204" s="87">
        <v>6</v>
      </c>
      <c r="K204" s="87"/>
      <c r="L204" s="57">
        <v>89</v>
      </c>
      <c r="M204" s="87">
        <v>235</v>
      </c>
      <c r="N204" s="1">
        <f t="shared" si="51"/>
        <v>4922.6000000000004</v>
      </c>
      <c r="O204" s="1">
        <v>4285.6000000000004</v>
      </c>
      <c r="P204" s="106">
        <v>2530.1</v>
      </c>
      <c r="Q204" s="225"/>
      <c r="R204" s="226"/>
      <c r="S204" s="226">
        <f>47.8+50.7+51.2</f>
        <v>149.69999999999999</v>
      </c>
      <c r="T204" s="226"/>
      <c r="U204" s="226"/>
      <c r="V204" s="6">
        <v>420.7</v>
      </c>
      <c r="W204" s="6">
        <v>66.599999999999994</v>
      </c>
      <c r="X204" s="6">
        <f t="shared" si="54"/>
        <v>546.91</v>
      </c>
      <c r="Y204" s="93">
        <f t="shared" si="56"/>
        <v>394.74599999999998</v>
      </c>
      <c r="Z204" s="93">
        <f t="shared" si="55"/>
        <v>218.76400000000001</v>
      </c>
      <c r="AA204" s="5"/>
      <c r="AB204" s="122">
        <v>84.24</v>
      </c>
    </row>
    <row r="205" spans="1:28" x14ac:dyDescent="0.3">
      <c r="A205" s="85">
        <f t="shared" si="53"/>
        <v>162</v>
      </c>
      <c r="B205" s="125">
        <v>1993</v>
      </c>
      <c r="C205" s="57" t="s">
        <v>15</v>
      </c>
      <c r="D205" s="91" t="s">
        <v>84</v>
      </c>
      <c r="E205" s="86" t="s">
        <v>30</v>
      </c>
      <c r="F205" s="87" t="s">
        <v>7</v>
      </c>
      <c r="G205" s="87">
        <v>8</v>
      </c>
      <c r="H205" s="87">
        <v>5</v>
      </c>
      <c r="I205" s="87">
        <v>1</v>
      </c>
      <c r="J205" s="87">
        <v>4</v>
      </c>
      <c r="K205" s="87"/>
      <c r="L205" s="57">
        <v>60</v>
      </c>
      <c r="M205" s="87">
        <v>143</v>
      </c>
      <c r="N205" s="1">
        <f t="shared" si="51"/>
        <v>3298.1000000000004</v>
      </c>
      <c r="O205" s="1">
        <v>2972.9</v>
      </c>
      <c r="P205" s="89">
        <f>1676.9+28.8-0.1</f>
        <v>1705.6000000000001</v>
      </c>
      <c r="Q205" s="225"/>
      <c r="R205" s="226"/>
      <c r="S205" s="226"/>
      <c r="T205" s="226"/>
      <c r="U205" s="226"/>
      <c r="V205" s="6">
        <v>280.8</v>
      </c>
      <c r="W205" s="6">
        <v>44.4</v>
      </c>
      <c r="X205" s="6">
        <f t="shared" si="54"/>
        <v>365.04</v>
      </c>
      <c r="Y205" s="93">
        <f t="shared" si="56"/>
        <v>263.42400000000004</v>
      </c>
      <c r="Z205" s="93">
        <f t="shared" si="55"/>
        <v>146.01599999999996</v>
      </c>
      <c r="AA205" s="5"/>
      <c r="AB205" s="122">
        <v>56.2</v>
      </c>
    </row>
    <row r="206" spans="1:28" x14ac:dyDescent="0.3">
      <c r="A206" s="85">
        <f t="shared" si="53"/>
        <v>163</v>
      </c>
      <c r="B206" s="125">
        <v>1993</v>
      </c>
      <c r="C206" s="57" t="s">
        <v>120</v>
      </c>
      <c r="D206" s="91" t="s">
        <v>84</v>
      </c>
      <c r="E206" s="86" t="s">
        <v>31</v>
      </c>
      <c r="F206" s="87" t="s">
        <v>7</v>
      </c>
      <c r="G206" s="87">
        <v>8</v>
      </c>
      <c r="H206" s="87">
        <v>5</v>
      </c>
      <c r="I206" s="87">
        <v>1</v>
      </c>
      <c r="J206" s="87">
        <v>5</v>
      </c>
      <c r="K206" s="87"/>
      <c r="L206" s="57">
        <v>50</v>
      </c>
      <c r="M206" s="87">
        <v>189</v>
      </c>
      <c r="N206" s="1">
        <f>O206+Q206+S206+U206+V206+W206</f>
        <v>3985</v>
      </c>
      <c r="O206" s="1">
        <f>3577.4-0.9</f>
        <v>3576.5</v>
      </c>
      <c r="P206" s="4">
        <f>2304.7-R206-0.2+3.6-0.3-0.9</f>
        <v>2306.8999999999996</v>
      </c>
      <c r="Q206" s="225"/>
      <c r="R206" s="226"/>
      <c r="S206" s="226"/>
      <c r="T206" s="226"/>
      <c r="U206" s="226"/>
      <c r="V206" s="6">
        <v>352.6</v>
      </c>
      <c r="W206" s="6">
        <v>55.9</v>
      </c>
      <c r="X206" s="6">
        <f t="shared" si="54"/>
        <v>458.38000000000005</v>
      </c>
      <c r="Y206" s="93">
        <f t="shared" si="56"/>
        <v>330.928</v>
      </c>
      <c r="Z206" s="93">
        <f t="shared" si="55"/>
        <v>183.35200000000009</v>
      </c>
      <c r="AA206" s="5"/>
      <c r="AB206" s="122">
        <v>64.8</v>
      </c>
    </row>
    <row r="207" spans="1:28" x14ac:dyDescent="0.3">
      <c r="A207" s="85">
        <f t="shared" si="53"/>
        <v>164</v>
      </c>
      <c r="B207" s="125">
        <v>1993</v>
      </c>
      <c r="C207" s="57" t="s">
        <v>121</v>
      </c>
      <c r="D207" s="91" t="s">
        <v>84</v>
      </c>
      <c r="E207" s="86">
        <v>32</v>
      </c>
      <c r="F207" s="87" t="s">
        <v>7</v>
      </c>
      <c r="G207" s="87">
        <v>8</v>
      </c>
      <c r="H207" s="87">
        <v>5</v>
      </c>
      <c r="I207" s="87">
        <v>1</v>
      </c>
      <c r="J207" s="87">
        <v>5</v>
      </c>
      <c r="K207" s="87"/>
      <c r="L207" s="57">
        <v>75</v>
      </c>
      <c r="M207" s="87">
        <v>217</v>
      </c>
      <c r="N207" s="1">
        <f t="shared" si="51"/>
        <v>4151.1000000000004</v>
      </c>
      <c r="O207" s="1">
        <v>3741.2</v>
      </c>
      <c r="P207" s="89">
        <f>2149.2-0.6-0.4-0.5+0.5</f>
        <v>2148.1999999999998</v>
      </c>
      <c r="Q207" s="225"/>
      <c r="R207" s="226"/>
      <c r="S207" s="226"/>
      <c r="T207" s="226"/>
      <c r="U207" s="226"/>
      <c r="V207" s="6">
        <v>354.3</v>
      </c>
      <c r="W207" s="6">
        <v>55.6</v>
      </c>
      <c r="X207" s="6">
        <f t="shared" si="54"/>
        <v>460.59000000000003</v>
      </c>
      <c r="Y207" s="93">
        <f t="shared" si="56"/>
        <v>331.95400000000006</v>
      </c>
      <c r="Z207" s="93">
        <f t="shared" si="55"/>
        <v>184.23599999999999</v>
      </c>
      <c r="AA207" s="5"/>
      <c r="AB207" s="122">
        <v>70.2</v>
      </c>
    </row>
    <row r="208" spans="1:28" x14ac:dyDescent="0.3">
      <c r="A208" s="85">
        <f t="shared" si="53"/>
        <v>165</v>
      </c>
      <c r="B208" s="125">
        <v>1993</v>
      </c>
      <c r="C208" s="57" t="s">
        <v>22</v>
      </c>
      <c r="D208" s="91" t="s">
        <v>84</v>
      </c>
      <c r="E208" s="86">
        <v>34</v>
      </c>
      <c r="F208" s="87" t="s">
        <v>7</v>
      </c>
      <c r="G208" s="87">
        <v>8</v>
      </c>
      <c r="H208" s="87">
        <v>5</v>
      </c>
      <c r="I208" s="87">
        <v>1</v>
      </c>
      <c r="J208" s="87">
        <v>6</v>
      </c>
      <c r="K208" s="87"/>
      <c r="L208" s="57">
        <v>89</v>
      </c>
      <c r="M208" s="87">
        <v>273</v>
      </c>
      <c r="N208" s="1">
        <f>O208+Q208+S208+U208+V208+W208</f>
        <v>4929.1000000000004</v>
      </c>
      <c r="O208" s="1">
        <v>4393.1000000000004</v>
      </c>
      <c r="P208" s="89">
        <f>2559.3+0.4-0.2-0.2-1.7</f>
        <v>2557.6000000000008</v>
      </c>
      <c r="Q208" s="225">
        <v>49.3</v>
      </c>
      <c r="R208" s="226"/>
      <c r="S208" s="226"/>
      <c r="T208" s="226"/>
      <c r="U208" s="226"/>
      <c r="V208" s="6">
        <v>420</v>
      </c>
      <c r="W208" s="6">
        <v>66.7</v>
      </c>
      <c r="X208" s="6">
        <f t="shared" si="54"/>
        <v>546</v>
      </c>
      <c r="Y208" s="93">
        <f t="shared" si="56"/>
        <v>394.3</v>
      </c>
      <c r="Z208" s="93">
        <f t="shared" si="55"/>
        <v>218.40000000000003</v>
      </c>
      <c r="AA208" s="5"/>
      <c r="AB208" s="122">
        <v>84.2</v>
      </c>
    </row>
    <row r="209" spans="1:28" x14ac:dyDescent="0.3">
      <c r="A209" s="85">
        <f t="shared" si="53"/>
        <v>166</v>
      </c>
      <c r="B209" s="125">
        <v>1993</v>
      </c>
      <c r="C209" s="57" t="s">
        <v>22</v>
      </c>
      <c r="D209" s="91" t="s">
        <v>84</v>
      </c>
      <c r="E209" s="86" t="s">
        <v>122</v>
      </c>
      <c r="F209" s="87" t="s">
        <v>7</v>
      </c>
      <c r="G209" s="87">
        <v>8</v>
      </c>
      <c r="H209" s="87">
        <v>5</v>
      </c>
      <c r="I209" s="87">
        <v>1</v>
      </c>
      <c r="J209" s="87">
        <v>3</v>
      </c>
      <c r="K209" s="87"/>
      <c r="L209" s="57">
        <v>45</v>
      </c>
      <c r="M209" s="87">
        <v>135</v>
      </c>
      <c r="N209" s="1">
        <f t="shared" si="51"/>
        <v>2492.1</v>
      </c>
      <c r="O209" s="1">
        <f>2245.9-0.2</f>
        <v>2245.7000000000003</v>
      </c>
      <c r="P209" s="89">
        <f>1284.8-0.4</f>
        <v>1284.3999999999999</v>
      </c>
      <c r="Q209" s="225"/>
      <c r="R209" s="226"/>
      <c r="S209" s="226"/>
      <c r="T209" s="226"/>
      <c r="U209" s="226"/>
      <c r="V209" s="6">
        <v>213.2</v>
      </c>
      <c r="W209" s="6">
        <v>33.200000000000003</v>
      </c>
      <c r="X209" s="6">
        <f t="shared" si="54"/>
        <v>277.15999999999997</v>
      </c>
      <c r="Y209" s="93">
        <f t="shared" si="56"/>
        <v>199.49599999999998</v>
      </c>
      <c r="Z209" s="93">
        <f t="shared" si="55"/>
        <v>110.86399999999998</v>
      </c>
      <c r="AA209" s="5"/>
      <c r="AB209" s="122">
        <v>42.1</v>
      </c>
    </row>
    <row r="210" spans="1:28" x14ac:dyDescent="0.3">
      <c r="A210" s="85">
        <f t="shared" si="53"/>
        <v>167</v>
      </c>
      <c r="B210" s="125">
        <v>1992</v>
      </c>
      <c r="C210" s="57" t="s">
        <v>15</v>
      </c>
      <c r="D210" s="91" t="s">
        <v>84</v>
      </c>
      <c r="E210" s="86" t="s">
        <v>123</v>
      </c>
      <c r="F210" s="87" t="s">
        <v>7</v>
      </c>
      <c r="G210" s="87">
        <v>8</v>
      </c>
      <c r="H210" s="87">
        <v>5</v>
      </c>
      <c r="I210" s="87">
        <v>1</v>
      </c>
      <c r="J210" s="87">
        <v>6</v>
      </c>
      <c r="K210" s="87"/>
      <c r="L210" s="57">
        <v>60</v>
      </c>
      <c r="M210" s="87">
        <v>227</v>
      </c>
      <c r="N210" s="1">
        <f t="shared" si="51"/>
        <v>4765.5</v>
      </c>
      <c r="O210" s="1">
        <f>4275.9</f>
        <v>4275.8999999999996</v>
      </c>
      <c r="P210" s="89">
        <f>2754.3-0.6-0.4-1.5</f>
        <v>2751.8</v>
      </c>
      <c r="Q210" s="225"/>
      <c r="R210" s="226"/>
      <c r="S210" s="226"/>
      <c r="T210" s="226"/>
      <c r="U210" s="226"/>
      <c r="V210" s="6">
        <v>422.8</v>
      </c>
      <c r="W210" s="6">
        <v>66.8</v>
      </c>
      <c r="X210" s="6">
        <f>V210*1.3</f>
        <v>549.64</v>
      </c>
      <c r="Y210" s="93">
        <f t="shared" si="56"/>
        <v>396.584</v>
      </c>
      <c r="Z210" s="93">
        <f t="shared" si="55"/>
        <v>219.85599999999994</v>
      </c>
      <c r="AA210" s="5"/>
      <c r="AB210" s="122">
        <v>86.4</v>
      </c>
    </row>
    <row r="211" spans="1:28" x14ac:dyDescent="0.3">
      <c r="A211" s="85">
        <f t="shared" si="53"/>
        <v>168</v>
      </c>
      <c r="B211" s="125">
        <v>1996</v>
      </c>
      <c r="C211" s="57" t="s">
        <v>163</v>
      </c>
      <c r="D211" s="91" t="s">
        <v>84</v>
      </c>
      <c r="E211" s="86">
        <v>36</v>
      </c>
      <c r="F211" s="87" t="s">
        <v>7</v>
      </c>
      <c r="G211" s="86">
        <v>1</v>
      </c>
      <c r="H211" s="86">
        <v>9</v>
      </c>
      <c r="I211" s="87">
        <v>1</v>
      </c>
      <c r="J211" s="87">
        <v>2</v>
      </c>
      <c r="K211" s="87"/>
      <c r="L211" s="57">
        <v>71</v>
      </c>
      <c r="M211" s="87">
        <v>195</v>
      </c>
      <c r="N211" s="1">
        <f t="shared" si="51"/>
        <v>5525.2000000000007</v>
      </c>
      <c r="O211" s="3">
        <v>4880</v>
      </c>
      <c r="P211" s="4">
        <f>2751.4-58.2</f>
        <v>2693.2000000000003</v>
      </c>
      <c r="Q211" s="229">
        <v>100.6</v>
      </c>
      <c r="R211" s="226"/>
      <c r="S211" s="226"/>
      <c r="T211" s="226"/>
      <c r="U211" s="226"/>
      <c r="V211" s="6">
        <v>310.3</v>
      </c>
      <c r="W211" s="6">
        <v>234.3</v>
      </c>
      <c r="X211" s="6">
        <f t="shared" si="54"/>
        <v>403.39000000000004</v>
      </c>
      <c r="Y211" s="93">
        <f>X211/H211*4+67.9+166.4/8*3</f>
        <v>309.58444444444444</v>
      </c>
      <c r="Z211" s="93">
        <f t="shared" si="55"/>
        <v>328.10555555555561</v>
      </c>
      <c r="AA211" s="5"/>
      <c r="AB211" s="122">
        <v>209.4</v>
      </c>
    </row>
    <row r="212" spans="1:28" x14ac:dyDescent="0.3">
      <c r="A212" s="85">
        <f t="shared" si="53"/>
        <v>169</v>
      </c>
      <c r="B212" s="125">
        <v>2008</v>
      </c>
      <c r="C212" s="57"/>
      <c r="D212" s="91" t="s">
        <v>84</v>
      </c>
      <c r="E212" s="86" t="s">
        <v>182</v>
      </c>
      <c r="F212" s="87" t="s">
        <v>7</v>
      </c>
      <c r="G212" s="86" t="s">
        <v>183</v>
      </c>
      <c r="H212" s="86">
        <v>9</v>
      </c>
      <c r="I212" s="87">
        <v>1</v>
      </c>
      <c r="J212" s="87">
        <v>2</v>
      </c>
      <c r="K212" s="87"/>
      <c r="L212" s="57">
        <v>108</v>
      </c>
      <c r="M212" s="87">
        <v>238</v>
      </c>
      <c r="N212" s="1">
        <f t="shared" si="51"/>
        <v>6458.9</v>
      </c>
      <c r="O212" s="3">
        <v>5384.4</v>
      </c>
      <c r="P212" s="4">
        <f>3076.1-22.7-26.9+22.7+26.9</f>
        <v>3076.1</v>
      </c>
      <c r="Q212" s="229"/>
      <c r="R212" s="226"/>
      <c r="S212" s="226"/>
      <c r="T212" s="226"/>
      <c r="U212" s="226"/>
      <c r="V212" s="104">
        <v>355</v>
      </c>
      <c r="W212" s="6">
        <v>719.5</v>
      </c>
      <c r="X212" s="6">
        <f>V212*1.3</f>
        <v>461.5</v>
      </c>
      <c r="Y212" s="93">
        <f>X212/H212*4+67.9+166.4/8*3</f>
        <v>335.41111111111115</v>
      </c>
      <c r="Z212" s="93">
        <f>W212+X212-Y212</f>
        <v>845.58888888888885</v>
      </c>
      <c r="AA212" s="5"/>
      <c r="AB212" s="122"/>
    </row>
    <row r="213" spans="1:28" x14ac:dyDescent="0.3">
      <c r="A213" s="85">
        <f t="shared" si="53"/>
        <v>170</v>
      </c>
      <c r="B213" s="125">
        <v>2004</v>
      </c>
      <c r="C213" s="184"/>
      <c r="D213" s="185" t="s">
        <v>84</v>
      </c>
      <c r="E213" s="186">
        <v>40</v>
      </c>
      <c r="F213" s="187" t="s">
        <v>7</v>
      </c>
      <c r="G213" s="188">
        <v>1</v>
      </c>
      <c r="H213" s="187">
        <v>9</v>
      </c>
      <c r="I213" s="187">
        <v>1</v>
      </c>
      <c r="J213" s="187">
        <v>3</v>
      </c>
      <c r="K213" s="187"/>
      <c r="L213" s="187">
        <v>104</v>
      </c>
      <c r="M213" s="87">
        <v>289</v>
      </c>
      <c r="N213" s="1">
        <f>O213+Q213+S213+U213+V213+W213</f>
        <v>6890.4000000000005</v>
      </c>
      <c r="O213" s="189">
        <f>5843.3</f>
        <v>5843.3</v>
      </c>
      <c r="P213" s="190">
        <v>3188.8</v>
      </c>
      <c r="Q213" s="225"/>
      <c r="R213" s="226"/>
      <c r="S213" s="226">
        <v>222.9</v>
      </c>
      <c r="T213" s="226"/>
      <c r="U213" s="236"/>
      <c r="V213" s="191">
        <v>447.1</v>
      </c>
      <c r="W213" s="189">
        <v>377.1</v>
      </c>
      <c r="X213" s="189">
        <f>V213*1.3</f>
        <v>581.23</v>
      </c>
      <c r="Y213" s="192">
        <f>X213/H213*4+2.7+3.2+9.1+16.4+11.9+1.4+2.7+3.1+8.9+12+1.4+4.9+11.1+2.7+3.3+9.3+11.9+1.4+(12+12+12.1)*3</f>
        <v>484.02444444444433</v>
      </c>
      <c r="Z213" s="192">
        <f>W213+X213-Y213</f>
        <v>474.30555555555571</v>
      </c>
      <c r="AA213" s="5"/>
      <c r="AB213" s="122">
        <v>114.4</v>
      </c>
    </row>
    <row r="214" spans="1:28" x14ac:dyDescent="0.3">
      <c r="A214" s="85">
        <f t="shared" si="53"/>
        <v>171</v>
      </c>
      <c r="B214" s="125">
        <v>1994</v>
      </c>
      <c r="C214" s="57" t="s">
        <v>124</v>
      </c>
      <c r="D214" s="91" t="s">
        <v>84</v>
      </c>
      <c r="E214" s="86">
        <v>42</v>
      </c>
      <c r="F214" s="87" t="s">
        <v>7</v>
      </c>
      <c r="G214" s="87">
        <v>8</v>
      </c>
      <c r="H214" s="87">
        <v>5</v>
      </c>
      <c r="I214" s="87">
        <v>1</v>
      </c>
      <c r="J214" s="87">
        <v>6</v>
      </c>
      <c r="K214" s="87"/>
      <c r="L214" s="57">
        <v>90</v>
      </c>
      <c r="M214" s="87">
        <v>223</v>
      </c>
      <c r="N214" s="1">
        <f>O214+S214+V214+W214</f>
        <v>4975.5</v>
      </c>
      <c r="O214" s="1">
        <v>4435.7</v>
      </c>
      <c r="P214" s="4">
        <f>2588.8-1.1</f>
        <v>2587.7000000000003</v>
      </c>
      <c r="Q214" s="225"/>
      <c r="R214" s="226"/>
      <c r="S214" s="226">
        <v>50.7</v>
      </c>
      <c r="T214" s="226"/>
      <c r="U214" s="226"/>
      <c r="V214" s="6">
        <v>422.5</v>
      </c>
      <c r="W214" s="6">
        <v>66.599999999999994</v>
      </c>
      <c r="X214" s="6">
        <f t="shared" si="54"/>
        <v>549.25</v>
      </c>
      <c r="Y214" s="93">
        <f t="shared" ref="Y214:Y222" si="57">X214/H214*3+W214</f>
        <v>396.15</v>
      </c>
      <c r="Z214" s="93">
        <f t="shared" si="55"/>
        <v>219.70000000000005</v>
      </c>
      <c r="AA214" s="5"/>
      <c r="AB214" s="122">
        <v>90.7</v>
      </c>
    </row>
    <row r="215" spans="1:28" x14ac:dyDescent="0.3">
      <c r="A215" s="85">
        <f t="shared" si="53"/>
        <v>172</v>
      </c>
      <c r="B215" s="125">
        <v>1994</v>
      </c>
      <c r="C215" s="57" t="s">
        <v>125</v>
      </c>
      <c r="D215" s="91" t="s">
        <v>84</v>
      </c>
      <c r="E215" s="86" t="s">
        <v>17</v>
      </c>
      <c r="F215" s="87" t="s">
        <v>7</v>
      </c>
      <c r="G215" s="87">
        <v>8</v>
      </c>
      <c r="H215" s="87">
        <v>5</v>
      </c>
      <c r="I215" s="87">
        <v>1</v>
      </c>
      <c r="J215" s="87">
        <v>3</v>
      </c>
      <c r="K215" s="87"/>
      <c r="L215" s="57">
        <v>45</v>
      </c>
      <c r="M215" s="87">
        <v>127</v>
      </c>
      <c r="N215" s="1">
        <f t="shared" si="51"/>
        <v>2488</v>
      </c>
      <c r="O215" s="117">
        <v>2242</v>
      </c>
      <c r="P215" s="4">
        <f>1287.4-0.7-1.2-0.6-0.8</f>
        <v>1284.1000000000001</v>
      </c>
      <c r="Q215" s="225"/>
      <c r="R215" s="226"/>
      <c r="S215" s="226"/>
      <c r="T215" s="226"/>
      <c r="U215" s="226"/>
      <c r="V215" s="6">
        <v>212.5</v>
      </c>
      <c r="W215" s="6">
        <v>33.5</v>
      </c>
      <c r="X215" s="6">
        <f t="shared" si="54"/>
        <v>276.25</v>
      </c>
      <c r="Y215" s="93">
        <f t="shared" si="57"/>
        <v>199.25</v>
      </c>
      <c r="Z215" s="93">
        <f t="shared" si="55"/>
        <v>110.5</v>
      </c>
      <c r="AA215" s="5"/>
      <c r="AB215" s="122">
        <v>44.3</v>
      </c>
    </row>
    <row r="216" spans="1:28" x14ac:dyDescent="0.3">
      <c r="A216" s="85">
        <f t="shared" si="53"/>
        <v>173</v>
      </c>
      <c r="B216" s="125">
        <v>1995</v>
      </c>
      <c r="C216" s="57" t="s">
        <v>126</v>
      </c>
      <c r="D216" s="91" t="s">
        <v>116</v>
      </c>
      <c r="E216" s="86" t="s">
        <v>18</v>
      </c>
      <c r="F216" s="87" t="s">
        <v>7</v>
      </c>
      <c r="G216" s="87">
        <v>8</v>
      </c>
      <c r="H216" s="87">
        <v>5</v>
      </c>
      <c r="I216" s="87">
        <v>1</v>
      </c>
      <c r="J216" s="87">
        <v>4</v>
      </c>
      <c r="K216" s="87"/>
      <c r="L216" s="57">
        <v>40</v>
      </c>
      <c r="M216" s="87">
        <v>149</v>
      </c>
      <c r="N216" s="1">
        <f t="shared" si="51"/>
        <v>3170.2</v>
      </c>
      <c r="O216" s="1">
        <f>2769.6-0.2+0.6-0.8-0.7-0.4+79.6</f>
        <v>2847.7</v>
      </c>
      <c r="P216" s="4">
        <f>1778.5-0.8+0.6-0.7-0.3-0.5+52.1</f>
        <v>1828.8999999999999</v>
      </c>
      <c r="Q216" s="225"/>
      <c r="R216" s="226"/>
      <c r="S216" s="226"/>
      <c r="T216" s="226"/>
      <c r="U216" s="226"/>
      <c r="V216" s="6">
        <v>282.2</v>
      </c>
      <c r="W216" s="6">
        <v>40.299999999999997</v>
      </c>
      <c r="X216" s="6">
        <f t="shared" si="54"/>
        <v>366.86</v>
      </c>
      <c r="Y216" s="93">
        <f t="shared" si="57"/>
        <v>260.416</v>
      </c>
      <c r="Z216" s="93">
        <f t="shared" si="55"/>
        <v>146.74400000000003</v>
      </c>
      <c r="AA216" s="5"/>
      <c r="AB216" s="122">
        <v>55.4</v>
      </c>
    </row>
    <row r="217" spans="1:28" x14ac:dyDescent="0.3">
      <c r="A217" s="85">
        <f t="shared" si="53"/>
        <v>174</v>
      </c>
      <c r="B217" s="125">
        <v>1994</v>
      </c>
      <c r="C217" s="57" t="s">
        <v>127</v>
      </c>
      <c r="D217" s="91" t="s">
        <v>84</v>
      </c>
      <c r="E217" s="86">
        <v>44</v>
      </c>
      <c r="F217" s="87" t="s">
        <v>7</v>
      </c>
      <c r="G217" s="87">
        <v>8</v>
      </c>
      <c r="H217" s="87">
        <v>5</v>
      </c>
      <c r="I217" s="87">
        <v>1</v>
      </c>
      <c r="J217" s="87">
        <v>4</v>
      </c>
      <c r="K217" s="87"/>
      <c r="L217" s="57">
        <v>60</v>
      </c>
      <c r="M217" s="87">
        <v>163</v>
      </c>
      <c r="N217" s="1">
        <f t="shared" si="51"/>
        <v>3307.2000000000003</v>
      </c>
      <c r="O217" s="1">
        <v>2978.4</v>
      </c>
      <c r="P217" s="4">
        <f>1712.7-0.4-0.1-0.3</f>
        <v>1711.9</v>
      </c>
      <c r="Q217" s="225"/>
      <c r="R217" s="226"/>
      <c r="S217" s="226"/>
      <c r="T217" s="226"/>
      <c r="U217" s="226"/>
      <c r="V217" s="6">
        <v>284</v>
      </c>
      <c r="W217" s="6">
        <v>44.8</v>
      </c>
      <c r="X217" s="6">
        <f t="shared" si="54"/>
        <v>369.2</v>
      </c>
      <c r="Y217" s="93">
        <f t="shared" si="57"/>
        <v>266.32</v>
      </c>
      <c r="Z217" s="93">
        <f t="shared" si="55"/>
        <v>147.68</v>
      </c>
      <c r="AA217" s="5"/>
      <c r="AB217" s="122">
        <v>56.2</v>
      </c>
    </row>
    <row r="218" spans="1:28" x14ac:dyDescent="0.3">
      <c r="A218" s="85">
        <f t="shared" si="53"/>
        <v>175</v>
      </c>
      <c r="B218" s="125">
        <v>1994</v>
      </c>
      <c r="C218" s="57" t="s">
        <v>20</v>
      </c>
      <c r="D218" s="91" t="s">
        <v>116</v>
      </c>
      <c r="E218" s="86" t="s">
        <v>128</v>
      </c>
      <c r="F218" s="87" t="s">
        <v>7</v>
      </c>
      <c r="G218" s="87">
        <v>8</v>
      </c>
      <c r="H218" s="87">
        <v>5</v>
      </c>
      <c r="I218" s="87">
        <v>1</v>
      </c>
      <c r="J218" s="87">
        <v>4</v>
      </c>
      <c r="K218" s="87"/>
      <c r="L218" s="57">
        <v>40</v>
      </c>
      <c r="M218" s="87">
        <v>157</v>
      </c>
      <c r="N218" s="1">
        <f t="shared" si="51"/>
        <v>3187.1</v>
      </c>
      <c r="O218" s="1">
        <v>2862.2</v>
      </c>
      <c r="P218" s="4">
        <f>1835.5-0.2-0.6-0.5</f>
        <v>1834.2</v>
      </c>
      <c r="Q218" s="225"/>
      <c r="R218" s="226"/>
      <c r="S218" s="226"/>
      <c r="T218" s="226"/>
      <c r="U218" s="226"/>
      <c r="V218" s="6">
        <v>280.8</v>
      </c>
      <c r="W218" s="6">
        <v>44.1</v>
      </c>
      <c r="X218" s="6">
        <f t="shared" si="54"/>
        <v>365.04</v>
      </c>
      <c r="Y218" s="93">
        <f t="shared" si="57"/>
        <v>263.12400000000002</v>
      </c>
      <c r="Z218" s="93">
        <f t="shared" si="55"/>
        <v>146.01600000000002</v>
      </c>
      <c r="AA218" s="5"/>
      <c r="AB218" s="122">
        <v>56.2</v>
      </c>
    </row>
    <row r="219" spans="1:28" x14ac:dyDescent="0.3">
      <c r="A219" s="85">
        <f t="shared" si="53"/>
        <v>176</v>
      </c>
      <c r="B219" s="125">
        <v>1994</v>
      </c>
      <c r="C219" s="57" t="s">
        <v>20</v>
      </c>
      <c r="D219" s="91" t="s">
        <v>84</v>
      </c>
      <c r="E219" s="86" t="s">
        <v>129</v>
      </c>
      <c r="F219" s="87" t="s">
        <v>7</v>
      </c>
      <c r="G219" s="87">
        <v>8</v>
      </c>
      <c r="H219" s="87">
        <v>5</v>
      </c>
      <c r="I219" s="87">
        <v>1</v>
      </c>
      <c r="J219" s="87">
        <v>6</v>
      </c>
      <c r="K219" s="87"/>
      <c r="L219" s="57">
        <v>89</v>
      </c>
      <c r="M219" s="87">
        <v>241</v>
      </c>
      <c r="N219" s="1">
        <f t="shared" si="51"/>
        <v>4993.5000000000009</v>
      </c>
      <c r="O219" s="1">
        <f>4453.8-3</f>
        <v>4450.8</v>
      </c>
      <c r="P219" s="4">
        <f>2593.5-1.6-29.4-0.7</f>
        <v>2561.8000000000002</v>
      </c>
      <c r="Q219" s="225"/>
      <c r="R219" s="226"/>
      <c r="S219" s="226">
        <v>51.8</v>
      </c>
      <c r="T219" s="226"/>
      <c r="U219" s="226"/>
      <c r="V219" s="6">
        <v>423.3</v>
      </c>
      <c r="W219" s="6">
        <v>67.599999999999994</v>
      </c>
      <c r="X219" s="6">
        <f t="shared" si="54"/>
        <v>550.29000000000008</v>
      </c>
      <c r="Y219" s="93">
        <f t="shared" si="57"/>
        <v>397.77400000000011</v>
      </c>
      <c r="Z219" s="93">
        <f t="shared" si="55"/>
        <v>220.11599999999999</v>
      </c>
      <c r="AA219" s="5"/>
      <c r="AB219" s="122">
        <v>81.7</v>
      </c>
    </row>
    <row r="220" spans="1:28" x14ac:dyDescent="0.3">
      <c r="A220" s="85">
        <f t="shared" si="53"/>
        <v>177</v>
      </c>
      <c r="B220" s="125">
        <v>1994</v>
      </c>
      <c r="C220" s="57" t="s">
        <v>130</v>
      </c>
      <c r="D220" s="91" t="s">
        <v>84</v>
      </c>
      <c r="E220" s="86" t="s">
        <v>131</v>
      </c>
      <c r="F220" s="87" t="s">
        <v>7</v>
      </c>
      <c r="G220" s="87">
        <v>8</v>
      </c>
      <c r="H220" s="87">
        <v>5</v>
      </c>
      <c r="I220" s="87">
        <v>1</v>
      </c>
      <c r="J220" s="87">
        <v>4</v>
      </c>
      <c r="K220" s="87"/>
      <c r="L220" s="57">
        <v>60</v>
      </c>
      <c r="M220" s="87">
        <v>142</v>
      </c>
      <c r="N220" s="1">
        <f t="shared" si="51"/>
        <v>3358.3</v>
      </c>
      <c r="O220" s="1">
        <v>3029.3</v>
      </c>
      <c r="P220" s="4">
        <f>1736.7-0.5-0.7-1</f>
        <v>1734.5</v>
      </c>
      <c r="Q220" s="225"/>
      <c r="R220" s="226"/>
      <c r="S220" s="226"/>
      <c r="T220" s="226"/>
      <c r="U220" s="226"/>
      <c r="V220" s="6">
        <v>283.3</v>
      </c>
      <c r="W220" s="6">
        <v>45.7</v>
      </c>
      <c r="X220" s="6">
        <f t="shared" si="54"/>
        <v>368.29</v>
      </c>
      <c r="Y220" s="93">
        <f t="shared" si="57"/>
        <v>266.67399999999998</v>
      </c>
      <c r="Z220" s="93">
        <f t="shared" si="55"/>
        <v>147.31600000000003</v>
      </c>
      <c r="AA220" s="5"/>
      <c r="AB220" s="122">
        <v>56.25</v>
      </c>
    </row>
    <row r="221" spans="1:28" x14ac:dyDescent="0.3">
      <c r="A221" s="85">
        <f t="shared" si="53"/>
        <v>178</v>
      </c>
      <c r="B221" s="125">
        <v>1994</v>
      </c>
      <c r="C221" s="57" t="s">
        <v>127</v>
      </c>
      <c r="D221" s="91" t="s">
        <v>38</v>
      </c>
      <c r="E221" s="86">
        <v>46</v>
      </c>
      <c r="F221" s="87" t="s">
        <v>7</v>
      </c>
      <c r="G221" s="87">
        <v>8</v>
      </c>
      <c r="H221" s="87">
        <v>5</v>
      </c>
      <c r="I221" s="87">
        <v>1</v>
      </c>
      <c r="J221" s="87">
        <v>6</v>
      </c>
      <c r="K221" s="87"/>
      <c r="L221" s="57">
        <v>59</v>
      </c>
      <c r="M221" s="87">
        <v>235</v>
      </c>
      <c r="N221" s="1">
        <f t="shared" si="51"/>
        <v>4808.8000000000011</v>
      </c>
      <c r="O221" s="1">
        <v>4321.6000000000004</v>
      </c>
      <c r="P221" s="4">
        <f>2787.1-1+0-1.2-1-0.8-2.5-0.4-1.4-1.8</f>
        <v>2776.9999999999995</v>
      </c>
      <c r="Q221" s="225"/>
      <c r="R221" s="226"/>
      <c r="S221" s="226"/>
      <c r="T221" s="226"/>
      <c r="U221" s="226"/>
      <c r="V221" s="6">
        <v>421.1</v>
      </c>
      <c r="W221" s="6">
        <v>66.099999999999994</v>
      </c>
      <c r="X221" s="6">
        <f t="shared" si="54"/>
        <v>547.43000000000006</v>
      </c>
      <c r="Y221" s="93">
        <f t="shared" si="57"/>
        <v>394.55800000000011</v>
      </c>
      <c r="Z221" s="93">
        <f t="shared" si="55"/>
        <v>218.97199999999998</v>
      </c>
      <c r="AA221" s="5"/>
      <c r="AB221" s="122">
        <v>86.4</v>
      </c>
    </row>
    <row r="222" spans="1:28" x14ac:dyDescent="0.3">
      <c r="A222" s="85">
        <f t="shared" si="53"/>
        <v>179</v>
      </c>
      <c r="B222" s="125">
        <v>1993</v>
      </c>
      <c r="C222" s="57" t="s">
        <v>15</v>
      </c>
      <c r="D222" s="91" t="s">
        <v>38</v>
      </c>
      <c r="E222" s="86">
        <v>48</v>
      </c>
      <c r="F222" s="87" t="s">
        <v>7</v>
      </c>
      <c r="G222" s="87">
        <v>8</v>
      </c>
      <c r="H222" s="87">
        <v>5</v>
      </c>
      <c r="I222" s="87">
        <v>1</v>
      </c>
      <c r="J222" s="87">
        <v>6</v>
      </c>
      <c r="K222" s="87"/>
      <c r="L222" s="57">
        <v>51</v>
      </c>
      <c r="M222" s="87">
        <v>193</v>
      </c>
      <c r="N222" s="1">
        <f t="shared" si="51"/>
        <v>6119.6399999999994</v>
      </c>
      <c r="O222" s="1">
        <v>3711.04</v>
      </c>
      <c r="P222" s="4">
        <f>2339.9-1.4+2.3-0.8-1.4</f>
        <v>2338.6</v>
      </c>
      <c r="Q222" s="225"/>
      <c r="R222" s="226"/>
      <c r="S222" s="226"/>
      <c r="T222" s="226"/>
      <c r="U222" s="226">
        <f>965.5+965.7</f>
        <v>1931.2</v>
      </c>
      <c r="V222" s="6">
        <v>425</v>
      </c>
      <c r="W222" s="6">
        <v>52.4</v>
      </c>
      <c r="X222" s="6">
        <f t="shared" si="54"/>
        <v>552.5</v>
      </c>
      <c r="Y222" s="93">
        <f t="shared" si="57"/>
        <v>383.9</v>
      </c>
      <c r="Z222" s="93">
        <f t="shared" si="55"/>
        <v>221</v>
      </c>
      <c r="AA222" s="5"/>
      <c r="AB222" s="122">
        <v>86.4</v>
      </c>
    </row>
    <row r="223" spans="1:28" x14ac:dyDescent="0.3">
      <c r="A223" s="85">
        <f t="shared" si="53"/>
        <v>180</v>
      </c>
      <c r="B223" s="125">
        <v>1993</v>
      </c>
      <c r="C223" s="57" t="s">
        <v>110</v>
      </c>
      <c r="D223" s="91" t="s">
        <v>38</v>
      </c>
      <c r="E223" s="86">
        <v>50</v>
      </c>
      <c r="F223" s="87" t="s">
        <v>7</v>
      </c>
      <c r="G223" s="87">
        <v>8</v>
      </c>
      <c r="H223" s="87">
        <v>5</v>
      </c>
      <c r="I223" s="87">
        <v>1</v>
      </c>
      <c r="J223" s="87">
        <v>6</v>
      </c>
      <c r="K223" s="87"/>
      <c r="L223" s="57">
        <v>59</v>
      </c>
      <c r="M223" s="87">
        <v>237</v>
      </c>
      <c r="N223" s="1">
        <f>O223+Q223+S223+U223+V223+W223</f>
        <v>4789.3</v>
      </c>
      <c r="O223" s="1">
        <v>4212.8</v>
      </c>
      <c r="P223" s="4">
        <f>2763.3-1.1-0.5-1.2-0.3-0.7-41.8-1.1</f>
        <v>2716.6000000000004</v>
      </c>
      <c r="Q223" s="225">
        <v>79.5</v>
      </c>
      <c r="R223" s="226"/>
      <c r="S223" s="226"/>
      <c r="T223" s="226"/>
      <c r="U223" s="226"/>
      <c r="V223" s="6">
        <v>429.9</v>
      </c>
      <c r="W223" s="6">
        <v>67.099999999999994</v>
      </c>
      <c r="X223" s="6">
        <f t="shared" si="54"/>
        <v>558.87</v>
      </c>
      <c r="Y223" s="93">
        <f>X223/H223*3+W223</f>
        <v>402.42200000000003</v>
      </c>
      <c r="Z223" s="93">
        <f t="shared" si="55"/>
        <v>223.548</v>
      </c>
      <c r="AA223" s="5"/>
      <c r="AB223" s="122">
        <v>86.4</v>
      </c>
    </row>
    <row r="224" spans="1:28" ht="13.5" thickBot="1" x14ac:dyDescent="0.35">
      <c r="A224" s="85">
        <f t="shared" si="53"/>
        <v>181</v>
      </c>
      <c r="B224" s="127">
        <v>2006</v>
      </c>
      <c r="C224" s="128">
        <v>2007</v>
      </c>
      <c r="D224" s="129" t="s">
        <v>25</v>
      </c>
      <c r="E224" s="103">
        <v>101</v>
      </c>
      <c r="F224" s="130" t="s">
        <v>7</v>
      </c>
      <c r="G224" s="103">
        <v>1</v>
      </c>
      <c r="H224" s="103">
        <v>9</v>
      </c>
      <c r="I224" s="130">
        <v>1</v>
      </c>
      <c r="J224" s="130">
        <v>3</v>
      </c>
      <c r="K224" s="130"/>
      <c r="L224" s="128">
        <v>106</v>
      </c>
      <c r="M224" s="130">
        <v>272</v>
      </c>
      <c r="N224" s="1">
        <f t="shared" si="51"/>
        <v>6664.7</v>
      </c>
      <c r="O224" s="131">
        <v>5744.5</v>
      </c>
      <c r="P224" s="132">
        <v>3088.5</v>
      </c>
      <c r="Q224" s="237"/>
      <c r="R224" s="238"/>
      <c r="S224" s="238"/>
      <c r="T224" s="238"/>
      <c r="U224" s="238"/>
      <c r="V224" s="100">
        <v>552.79999999999995</v>
      </c>
      <c r="W224" s="100">
        <v>367.4</v>
      </c>
      <c r="X224" s="100">
        <f t="shared" si="54"/>
        <v>718.64</v>
      </c>
      <c r="Y224" s="150">
        <f>X224/H224*3+W224</f>
        <v>606.94666666666672</v>
      </c>
      <c r="Z224" s="150">
        <f t="shared" si="55"/>
        <v>479.09333333333325</v>
      </c>
      <c r="AA224" s="97"/>
      <c r="AB224" s="133"/>
    </row>
    <row r="225" spans="1:28" ht="13.5" thickBot="1" x14ac:dyDescent="0.35">
      <c r="A225" s="134"/>
      <c r="B225" s="135"/>
      <c r="C225" s="135"/>
      <c r="D225" s="136" t="s">
        <v>198</v>
      </c>
      <c r="E225" s="137"/>
      <c r="F225" s="137"/>
      <c r="G225" s="137"/>
      <c r="H225" s="138"/>
      <c r="I225" s="137">
        <f t="shared" ref="I225:AB225" si="58">SUM(I179:I224)</f>
        <v>46</v>
      </c>
      <c r="J225" s="138">
        <f t="shared" si="58"/>
        <v>196</v>
      </c>
      <c r="K225" s="135">
        <f t="shared" si="58"/>
        <v>0</v>
      </c>
      <c r="L225" s="138">
        <f t="shared" si="58"/>
        <v>2839</v>
      </c>
      <c r="M225" s="135">
        <f t="shared" si="58"/>
        <v>8382</v>
      </c>
      <c r="N225" s="193">
        <f t="shared" si="58"/>
        <v>184333.43000000005</v>
      </c>
      <c r="O225" s="139">
        <f t="shared" si="58"/>
        <v>161553.62999999998</v>
      </c>
      <c r="P225" s="140">
        <f t="shared" si="58"/>
        <v>96206.400000000009</v>
      </c>
      <c r="Q225" s="239">
        <f t="shared" si="58"/>
        <v>229.39999999999998</v>
      </c>
      <c r="R225" s="240">
        <f t="shared" si="58"/>
        <v>0</v>
      </c>
      <c r="S225" s="241">
        <f t="shared" si="58"/>
        <v>1470.8000000000002</v>
      </c>
      <c r="T225" s="240">
        <f t="shared" si="58"/>
        <v>0</v>
      </c>
      <c r="U225" s="240">
        <f t="shared" si="58"/>
        <v>2088.9</v>
      </c>
      <c r="V225" s="151">
        <f t="shared" si="58"/>
        <v>14935.099999999997</v>
      </c>
      <c r="W225" s="151">
        <f t="shared" si="58"/>
        <v>3897.8999999999996</v>
      </c>
      <c r="X225" s="151">
        <f t="shared" si="58"/>
        <v>19415.63</v>
      </c>
      <c r="Y225" s="151">
        <f t="shared" si="58"/>
        <v>14036.656777777778</v>
      </c>
      <c r="Z225" s="151">
        <f t="shared" si="58"/>
        <v>9276.8732222222206</v>
      </c>
      <c r="AA225" s="141">
        <f t="shared" si="58"/>
        <v>0</v>
      </c>
      <c r="AB225" s="142">
        <f t="shared" si="58"/>
        <v>3587.3499999999995</v>
      </c>
    </row>
    <row r="226" spans="1:28" s="145" customFormat="1" ht="13.5" thickBot="1" x14ac:dyDescent="0.35">
      <c r="A226" s="143"/>
      <c r="B226" s="144"/>
      <c r="C226" s="144"/>
      <c r="D226" s="144" t="s">
        <v>203</v>
      </c>
      <c r="E226" s="144"/>
      <c r="F226" s="144"/>
      <c r="G226" s="144"/>
      <c r="H226" s="144"/>
      <c r="I226" s="135">
        <f t="shared" ref="I226:AB226" si="59">I67+I118+I177+I225+I151</f>
        <v>181</v>
      </c>
      <c r="J226" s="135">
        <f t="shared" si="59"/>
        <v>686</v>
      </c>
      <c r="K226" s="135">
        <f t="shared" si="59"/>
        <v>2</v>
      </c>
      <c r="L226" s="135">
        <f t="shared" si="59"/>
        <v>10156</v>
      </c>
      <c r="M226" s="135">
        <f t="shared" si="59"/>
        <v>28833</v>
      </c>
      <c r="N226" s="135">
        <f t="shared" si="59"/>
        <v>626812.92000000004</v>
      </c>
      <c r="O226" s="135">
        <f t="shared" si="59"/>
        <v>536298.30999999994</v>
      </c>
      <c r="P226" s="135">
        <f t="shared" si="59"/>
        <v>317476.96000000002</v>
      </c>
      <c r="Q226" s="242">
        <f t="shared" si="59"/>
        <v>772.19999999999993</v>
      </c>
      <c r="R226" s="242">
        <f t="shared" si="59"/>
        <v>0</v>
      </c>
      <c r="S226" s="242">
        <f t="shared" si="59"/>
        <v>5729.4000000000005</v>
      </c>
      <c r="T226" s="242">
        <f t="shared" si="59"/>
        <v>0</v>
      </c>
      <c r="U226" s="242">
        <f t="shared" si="59"/>
        <v>9557.6</v>
      </c>
      <c r="V226" s="135">
        <f t="shared" si="59"/>
        <v>47412.909999999996</v>
      </c>
      <c r="W226" s="135">
        <f t="shared" si="59"/>
        <v>21667.299999999996</v>
      </c>
      <c r="X226" s="135">
        <f t="shared" si="59"/>
        <v>66887.883000000002</v>
      </c>
      <c r="Y226" s="135">
        <f t="shared" si="59"/>
        <v>60070.885355555562</v>
      </c>
      <c r="Z226" s="135">
        <f t="shared" si="59"/>
        <v>29244.49764444444</v>
      </c>
      <c r="AA226" s="135">
        <f t="shared" si="59"/>
        <v>2977.0000000000005</v>
      </c>
      <c r="AB226" s="135">
        <f t="shared" si="59"/>
        <v>8571.2499999999982</v>
      </c>
    </row>
    <row r="227" spans="1:28" ht="15.5" x14ac:dyDescent="0.35">
      <c r="A227" s="8"/>
      <c r="B227" s="8"/>
      <c r="C227" s="8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10"/>
      <c r="O227" s="10"/>
      <c r="P227" s="10"/>
      <c r="Q227" s="198"/>
      <c r="R227" s="198"/>
      <c r="S227" s="198"/>
      <c r="T227" s="198"/>
      <c r="U227" s="198"/>
      <c r="V227" s="8"/>
      <c r="W227" s="8"/>
      <c r="X227" s="8"/>
      <c r="Y227" s="8"/>
      <c r="Z227" s="8"/>
      <c r="AA227" s="8"/>
    </row>
    <row r="228" spans="1:28" x14ac:dyDescent="0.3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13"/>
      <c r="O228" s="13"/>
      <c r="P228" s="13"/>
      <c r="Q228" s="198"/>
      <c r="R228" s="198"/>
      <c r="S228" s="198"/>
      <c r="T228" s="198"/>
      <c r="U228" s="198"/>
      <c r="V228" s="8"/>
      <c r="W228" s="8"/>
      <c r="X228" s="8"/>
      <c r="Y228" s="8"/>
      <c r="Z228" s="8"/>
      <c r="AA228" s="8"/>
    </row>
    <row r="229" spans="1:28" x14ac:dyDescent="0.3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13"/>
      <c r="O229" s="13"/>
      <c r="P229" s="13"/>
      <c r="Q229" s="198"/>
      <c r="R229" s="198"/>
      <c r="S229" s="198"/>
      <c r="T229" s="198"/>
      <c r="U229" s="198"/>
      <c r="V229" s="8"/>
      <c r="W229" s="8"/>
      <c r="X229" s="8"/>
      <c r="Y229" s="8"/>
      <c r="Z229" s="8"/>
      <c r="AA229" s="8"/>
    </row>
    <row r="230" spans="1:28" ht="14.25" customHeight="1" x14ac:dyDescent="0.3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98"/>
      <c r="R230" s="198"/>
      <c r="S230" s="198"/>
      <c r="T230" s="198"/>
      <c r="U230" s="198"/>
      <c r="V230" s="8"/>
      <c r="W230" s="8"/>
      <c r="X230" s="8"/>
      <c r="Y230" s="8"/>
      <c r="Z230" s="8"/>
      <c r="AA230" s="8"/>
    </row>
    <row r="231" spans="1:28" s="146" customFormat="1" ht="15.5" x14ac:dyDescent="0.35">
      <c r="A231" s="9"/>
      <c r="B231" s="9"/>
      <c r="C231" s="9"/>
      <c r="D231" s="9"/>
      <c r="E231" s="9"/>
      <c r="H231" s="9"/>
      <c r="I231" s="9"/>
      <c r="J231" s="9"/>
      <c r="K231" s="9"/>
      <c r="L231" s="9"/>
      <c r="N231" s="9"/>
      <c r="O231" s="10"/>
      <c r="P231" s="10"/>
      <c r="Q231" s="243"/>
      <c r="R231" s="243"/>
      <c r="S231" s="243"/>
      <c r="T231" s="243"/>
      <c r="U231" s="243"/>
      <c r="V231" s="9"/>
      <c r="W231" s="9"/>
      <c r="X231" s="9"/>
      <c r="Y231" s="9"/>
      <c r="Z231" s="9"/>
      <c r="AA231" s="9"/>
    </row>
    <row r="232" spans="1:28" x14ac:dyDescent="0.3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13"/>
      <c r="O232" s="13"/>
      <c r="P232" s="13"/>
      <c r="Q232" s="198"/>
      <c r="R232" s="198"/>
      <c r="S232" s="198"/>
      <c r="T232" s="198"/>
      <c r="U232" s="198"/>
      <c r="V232" s="8"/>
      <c r="W232" s="8"/>
      <c r="X232" s="8"/>
      <c r="Y232" s="8"/>
      <c r="Z232" s="8"/>
      <c r="AA232" s="8"/>
    </row>
    <row r="233" spans="1:28" ht="17.25" customHeight="1" x14ac:dyDescent="0.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13"/>
      <c r="O233" s="13"/>
      <c r="P233" s="13"/>
      <c r="Q233" s="198"/>
      <c r="R233" s="198"/>
      <c r="S233" s="198"/>
      <c r="T233" s="198"/>
      <c r="U233" s="198"/>
      <c r="V233" s="8"/>
      <c r="W233" s="8"/>
      <c r="X233" s="8"/>
      <c r="Y233" s="8"/>
      <c r="Z233" s="8"/>
      <c r="AA233" s="8"/>
    </row>
    <row r="234" spans="1:28" x14ac:dyDescent="0.3">
      <c r="A234" s="147"/>
      <c r="B234" s="147"/>
      <c r="C234" s="147"/>
      <c r="D234" s="148"/>
      <c r="E234" s="8"/>
      <c r="F234" s="8"/>
      <c r="G234" s="8"/>
      <c r="H234" s="8"/>
      <c r="I234" s="8"/>
      <c r="J234" s="8"/>
      <c r="K234" s="8"/>
      <c r="L234" s="8"/>
      <c r="M234" s="8"/>
      <c r="N234" s="13"/>
      <c r="O234" s="13"/>
      <c r="P234" s="13"/>
      <c r="Q234" s="198"/>
      <c r="R234" s="198"/>
      <c r="S234" s="198"/>
      <c r="T234" s="198"/>
      <c r="U234" s="198"/>
      <c r="V234" s="8"/>
      <c r="W234" s="8"/>
      <c r="X234" s="8"/>
      <c r="Y234" s="8"/>
      <c r="Z234" s="8"/>
      <c r="AA234" s="8"/>
    </row>
    <row r="235" spans="1:28" x14ac:dyDescent="0.3">
      <c r="A235" s="147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13"/>
      <c r="O235" s="13"/>
      <c r="P235" s="13"/>
      <c r="Q235" s="198"/>
      <c r="R235" s="198"/>
      <c r="S235" s="198"/>
      <c r="T235" s="198"/>
      <c r="U235" s="198"/>
      <c r="V235" s="8"/>
      <c r="W235" s="8"/>
      <c r="X235" s="8"/>
      <c r="Y235" s="8"/>
      <c r="Z235" s="8"/>
      <c r="AA235" s="8"/>
    </row>
    <row r="236" spans="1:28" x14ac:dyDescent="0.3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13"/>
      <c r="O236" s="13"/>
      <c r="P236" s="13"/>
      <c r="Q236" s="198"/>
      <c r="R236" s="198"/>
      <c r="S236" s="198"/>
      <c r="T236" s="198"/>
      <c r="U236" s="198"/>
      <c r="V236" s="8"/>
      <c r="W236" s="8"/>
      <c r="X236" s="8"/>
      <c r="Y236" s="8"/>
      <c r="Z236" s="8"/>
      <c r="AA236" s="8"/>
    </row>
    <row r="237" spans="1:28" x14ac:dyDescent="0.3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13"/>
      <c r="O237" s="13"/>
      <c r="P237" s="13"/>
      <c r="Q237" s="198"/>
      <c r="R237" s="198"/>
      <c r="S237" s="198"/>
      <c r="T237" s="198"/>
      <c r="U237" s="198"/>
      <c r="V237" s="8"/>
      <c r="W237" s="8"/>
      <c r="X237" s="8"/>
      <c r="Y237" s="8"/>
      <c r="Z237" s="8"/>
      <c r="AA237" s="8"/>
    </row>
    <row r="238" spans="1:28" x14ac:dyDescent="0.3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13"/>
      <c r="O238" s="13"/>
      <c r="P238" s="13"/>
      <c r="Q238" s="198"/>
      <c r="R238" s="198"/>
      <c r="S238" s="198"/>
      <c r="T238" s="198"/>
      <c r="U238" s="198"/>
      <c r="V238" s="8"/>
      <c r="W238" s="8"/>
      <c r="X238" s="8"/>
      <c r="Y238" s="8"/>
      <c r="Z238" s="8"/>
      <c r="AA238" s="8"/>
    </row>
    <row r="239" spans="1:28" x14ac:dyDescent="0.3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13"/>
      <c r="O239" s="13"/>
      <c r="P239" s="13"/>
      <c r="Q239" s="198"/>
      <c r="R239" s="198"/>
      <c r="S239" s="198"/>
      <c r="T239" s="198"/>
      <c r="U239" s="198"/>
      <c r="V239" s="8"/>
      <c r="W239" s="8"/>
      <c r="X239" s="8"/>
      <c r="Y239" s="8"/>
      <c r="Z239" s="8"/>
      <c r="AA239" s="8"/>
    </row>
    <row r="240" spans="1:28" x14ac:dyDescent="0.3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13"/>
      <c r="O240" s="13"/>
      <c r="P240" s="13"/>
      <c r="Q240" s="198"/>
      <c r="R240" s="198"/>
      <c r="S240" s="198"/>
      <c r="T240" s="198"/>
      <c r="U240" s="198"/>
      <c r="V240" s="8"/>
      <c r="W240" s="8"/>
      <c r="X240" s="8"/>
      <c r="Y240" s="8"/>
      <c r="Z240" s="8"/>
      <c r="AA240" s="8"/>
    </row>
    <row r="241" spans="1:27" x14ac:dyDescent="0.3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13"/>
      <c r="O241" s="13"/>
      <c r="P241" s="13"/>
      <c r="Q241" s="198"/>
      <c r="R241" s="198"/>
      <c r="S241" s="198"/>
      <c r="T241" s="198"/>
      <c r="U241" s="198"/>
      <c r="V241" s="8"/>
      <c r="W241" s="8"/>
      <c r="X241" s="8"/>
      <c r="Y241" s="8"/>
      <c r="Z241" s="8"/>
      <c r="AA241" s="8"/>
    </row>
    <row r="242" spans="1:27" x14ac:dyDescent="0.3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13"/>
      <c r="O242" s="13"/>
      <c r="P242" s="13"/>
      <c r="Q242" s="198"/>
      <c r="R242" s="198"/>
      <c r="S242" s="198"/>
      <c r="T242" s="198"/>
      <c r="U242" s="198"/>
      <c r="V242" s="8"/>
      <c r="W242" s="8"/>
      <c r="X242" s="8"/>
      <c r="Y242" s="8"/>
      <c r="Z242" s="8"/>
      <c r="AA242" s="8"/>
    </row>
    <row r="243" spans="1:27" x14ac:dyDescent="0.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13"/>
      <c r="O243" s="13"/>
      <c r="P243" s="13"/>
      <c r="Q243" s="198"/>
      <c r="R243" s="198"/>
      <c r="S243" s="198"/>
      <c r="T243" s="198"/>
      <c r="U243" s="198"/>
      <c r="V243" s="8"/>
      <c r="W243" s="8"/>
      <c r="X243" s="8"/>
      <c r="Y243" s="8"/>
      <c r="Z243" s="8"/>
      <c r="AA243" s="8"/>
    </row>
    <row r="244" spans="1:27" x14ac:dyDescent="0.3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13"/>
      <c r="O244" s="13"/>
      <c r="P244" s="13"/>
      <c r="Q244" s="198"/>
      <c r="R244" s="198"/>
      <c r="S244" s="198"/>
      <c r="T244" s="198"/>
      <c r="U244" s="198"/>
      <c r="V244" s="8"/>
      <c r="W244" s="8"/>
      <c r="X244" s="8"/>
      <c r="Y244" s="8"/>
      <c r="Z244" s="8"/>
      <c r="AA244" s="8"/>
    </row>
    <row r="245" spans="1:27" x14ac:dyDescent="0.3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13"/>
      <c r="O245" s="13"/>
      <c r="P245" s="13"/>
      <c r="Q245" s="198"/>
      <c r="R245" s="198"/>
      <c r="S245" s="198"/>
      <c r="T245" s="198"/>
      <c r="U245" s="198"/>
      <c r="V245" s="8"/>
      <c r="W245" s="8"/>
      <c r="X245" s="8"/>
      <c r="Y245" s="8"/>
      <c r="Z245" s="8"/>
      <c r="AA245" s="8"/>
    </row>
    <row r="246" spans="1:27" x14ac:dyDescent="0.3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13"/>
      <c r="O246" s="13"/>
      <c r="P246" s="13"/>
      <c r="Q246" s="198"/>
      <c r="R246" s="198"/>
      <c r="S246" s="198"/>
      <c r="T246" s="198"/>
      <c r="U246" s="198"/>
      <c r="V246" s="8"/>
      <c r="W246" s="8"/>
      <c r="X246" s="8"/>
      <c r="Y246" s="8"/>
      <c r="Z246" s="8"/>
      <c r="AA246" s="8"/>
    </row>
    <row r="247" spans="1:27" x14ac:dyDescent="0.3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13"/>
      <c r="O247" s="13"/>
      <c r="P247" s="13"/>
      <c r="Q247" s="198"/>
      <c r="R247" s="198"/>
      <c r="S247" s="198"/>
      <c r="T247" s="198"/>
      <c r="U247" s="198"/>
      <c r="V247" s="8"/>
      <c r="W247" s="8"/>
      <c r="X247" s="8"/>
      <c r="Y247" s="8"/>
      <c r="Z247" s="8"/>
      <c r="AA247" s="8"/>
    </row>
    <row r="248" spans="1:27" x14ac:dyDescent="0.3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13"/>
      <c r="O248" s="13"/>
      <c r="P248" s="13"/>
      <c r="Q248" s="198"/>
      <c r="R248" s="198"/>
      <c r="S248" s="198"/>
      <c r="T248" s="198"/>
      <c r="U248" s="198"/>
      <c r="V248" s="8"/>
      <c r="W248" s="8"/>
      <c r="X248" s="8"/>
      <c r="Y248" s="8"/>
      <c r="Z248" s="8"/>
      <c r="AA248" s="8"/>
    </row>
    <row r="249" spans="1:27" x14ac:dyDescent="0.3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13"/>
      <c r="O249" s="13"/>
      <c r="P249" s="13"/>
      <c r="Q249" s="198"/>
      <c r="R249" s="198"/>
      <c r="S249" s="198"/>
      <c r="T249" s="198"/>
      <c r="U249" s="198"/>
      <c r="V249" s="8"/>
      <c r="W249" s="8"/>
      <c r="X249" s="8"/>
      <c r="Y249" s="8"/>
      <c r="Z249" s="8"/>
      <c r="AA249" s="8"/>
    </row>
    <row r="250" spans="1:27" x14ac:dyDescent="0.3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13"/>
      <c r="O250" s="13"/>
      <c r="P250" s="13"/>
      <c r="Q250" s="198"/>
      <c r="R250" s="198"/>
      <c r="S250" s="198"/>
      <c r="T250" s="198"/>
      <c r="U250" s="198"/>
      <c r="V250" s="8"/>
      <c r="W250" s="8"/>
      <c r="X250" s="8"/>
      <c r="Y250" s="8"/>
      <c r="Z250" s="8"/>
      <c r="AA250" s="8"/>
    </row>
    <row r="251" spans="1:27" x14ac:dyDescent="0.3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13"/>
      <c r="O251" s="13"/>
      <c r="P251" s="13"/>
      <c r="Q251" s="198"/>
      <c r="R251" s="198"/>
      <c r="S251" s="198"/>
      <c r="T251" s="198"/>
      <c r="U251" s="198"/>
      <c r="V251" s="8"/>
      <c r="W251" s="8"/>
      <c r="X251" s="8"/>
      <c r="Y251" s="8"/>
      <c r="Z251" s="8"/>
      <c r="AA251" s="8"/>
    </row>
    <row r="252" spans="1:27" x14ac:dyDescent="0.3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13"/>
      <c r="O252" s="13"/>
      <c r="P252" s="13"/>
      <c r="Q252" s="198"/>
      <c r="R252" s="198"/>
      <c r="S252" s="198"/>
      <c r="T252" s="198"/>
      <c r="U252" s="198"/>
      <c r="V252" s="8"/>
      <c r="W252" s="8"/>
      <c r="X252" s="8"/>
      <c r="Y252" s="8"/>
      <c r="Z252" s="8"/>
      <c r="AA252" s="8"/>
    </row>
    <row r="253" spans="1:27" x14ac:dyDescent="0.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13"/>
      <c r="O253" s="13"/>
      <c r="P253" s="13"/>
      <c r="Q253" s="198"/>
      <c r="R253" s="198"/>
      <c r="S253" s="198"/>
      <c r="T253" s="198"/>
      <c r="U253" s="198"/>
      <c r="V253" s="8"/>
      <c r="W253" s="8"/>
      <c r="X253" s="8"/>
      <c r="Y253" s="8"/>
      <c r="Z253" s="8"/>
      <c r="AA253" s="8"/>
    </row>
    <row r="254" spans="1:27" x14ac:dyDescent="0.3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13"/>
      <c r="O254" s="13"/>
      <c r="P254" s="13"/>
      <c r="Q254" s="198"/>
      <c r="R254" s="198"/>
      <c r="S254" s="198"/>
      <c r="T254" s="198"/>
      <c r="U254" s="198"/>
      <c r="V254" s="8"/>
      <c r="W254" s="8"/>
      <c r="X254" s="8"/>
      <c r="Y254" s="8"/>
      <c r="Z254" s="8"/>
      <c r="AA254" s="8"/>
    </row>
    <row r="255" spans="1:27" x14ac:dyDescent="0.3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13"/>
      <c r="O255" s="13"/>
      <c r="P255" s="13"/>
      <c r="Q255" s="198"/>
      <c r="R255" s="198"/>
      <c r="S255" s="198"/>
      <c r="T255" s="198"/>
      <c r="U255" s="198"/>
      <c r="V255" s="8"/>
      <c r="W255" s="8"/>
      <c r="X255" s="8"/>
      <c r="Y255" s="8"/>
      <c r="Z255" s="8"/>
      <c r="AA255" s="8"/>
    </row>
    <row r="256" spans="1:27" x14ac:dyDescent="0.3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13"/>
      <c r="O256" s="13"/>
      <c r="P256" s="13"/>
      <c r="Q256" s="198"/>
      <c r="R256" s="198"/>
      <c r="S256" s="198"/>
      <c r="T256" s="198"/>
      <c r="U256" s="198"/>
      <c r="V256" s="8"/>
      <c r="W256" s="8"/>
      <c r="X256" s="8"/>
      <c r="Y256" s="8"/>
      <c r="Z256" s="8"/>
      <c r="AA256" s="8"/>
    </row>
    <row r="257" spans="1:27" x14ac:dyDescent="0.3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13"/>
      <c r="O257" s="13"/>
      <c r="P257" s="13"/>
      <c r="Q257" s="198"/>
      <c r="R257" s="198"/>
      <c r="S257" s="198"/>
      <c r="T257" s="198"/>
      <c r="U257" s="198"/>
      <c r="V257" s="8"/>
      <c r="W257" s="8"/>
      <c r="X257" s="8"/>
      <c r="Y257" s="8"/>
      <c r="Z257" s="8"/>
      <c r="AA257" s="8"/>
    </row>
    <row r="258" spans="1:27" x14ac:dyDescent="0.3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13"/>
      <c r="O258" s="13"/>
      <c r="P258" s="13"/>
      <c r="Q258" s="198"/>
      <c r="R258" s="198"/>
      <c r="S258" s="198"/>
      <c r="T258" s="198"/>
      <c r="U258" s="198"/>
      <c r="V258" s="8"/>
      <c r="W258" s="8"/>
      <c r="X258" s="8"/>
      <c r="Y258" s="8"/>
      <c r="Z258" s="8"/>
      <c r="AA258" s="8"/>
    </row>
    <row r="259" spans="1:27" x14ac:dyDescent="0.3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13"/>
      <c r="O259" s="13"/>
      <c r="P259" s="13"/>
      <c r="Q259" s="198"/>
      <c r="R259" s="198"/>
      <c r="S259" s="198"/>
      <c r="T259" s="198"/>
      <c r="U259" s="198"/>
      <c r="V259" s="8"/>
      <c r="W259" s="8"/>
      <c r="X259" s="8"/>
      <c r="Y259" s="8"/>
      <c r="Z259" s="8"/>
      <c r="AA259" s="8"/>
    </row>
    <row r="260" spans="1:27" x14ac:dyDescent="0.3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13"/>
      <c r="O260" s="13"/>
      <c r="P260" s="13"/>
      <c r="Q260" s="198"/>
      <c r="R260" s="198"/>
      <c r="S260" s="198"/>
      <c r="T260" s="198"/>
      <c r="U260" s="198"/>
      <c r="V260" s="8"/>
      <c r="W260" s="8"/>
      <c r="X260" s="8"/>
      <c r="Y260" s="8"/>
      <c r="Z260" s="8"/>
      <c r="AA260" s="8"/>
    </row>
    <row r="261" spans="1:27" x14ac:dyDescent="0.3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13"/>
      <c r="O261" s="13"/>
      <c r="P261" s="13"/>
      <c r="Q261" s="198"/>
      <c r="R261" s="198"/>
      <c r="S261" s="198"/>
      <c r="T261" s="198"/>
      <c r="U261" s="198"/>
      <c r="V261" s="8"/>
      <c r="W261" s="8"/>
      <c r="X261" s="8"/>
      <c r="Y261" s="8"/>
      <c r="Z261" s="8"/>
      <c r="AA261" s="8"/>
    </row>
    <row r="262" spans="1:27" x14ac:dyDescent="0.3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13"/>
      <c r="O262" s="13"/>
      <c r="P262" s="13"/>
      <c r="Q262" s="198"/>
      <c r="R262" s="198"/>
      <c r="S262" s="198"/>
      <c r="T262" s="198"/>
      <c r="U262" s="198"/>
      <c r="V262" s="8"/>
      <c r="W262" s="8"/>
      <c r="X262" s="8"/>
      <c r="Y262" s="8"/>
      <c r="Z262" s="8"/>
      <c r="AA262" s="8"/>
    </row>
    <row r="263" spans="1:27" x14ac:dyDescent="0.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13"/>
      <c r="O263" s="13"/>
      <c r="P263" s="13"/>
      <c r="Q263" s="198"/>
      <c r="R263" s="198"/>
      <c r="S263" s="198"/>
      <c r="T263" s="198"/>
      <c r="U263" s="198"/>
      <c r="V263" s="8"/>
      <c r="W263" s="8"/>
      <c r="X263" s="8"/>
      <c r="Y263" s="8"/>
      <c r="Z263" s="8"/>
      <c r="AA263" s="8"/>
    </row>
    <row r="264" spans="1:27" x14ac:dyDescent="0.3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13"/>
      <c r="O264" s="13"/>
      <c r="P264" s="13"/>
      <c r="Q264" s="198"/>
      <c r="R264" s="198"/>
      <c r="S264" s="198"/>
      <c r="T264" s="198"/>
      <c r="U264" s="198"/>
      <c r="V264" s="8"/>
      <c r="W264" s="8"/>
      <c r="X264" s="8"/>
      <c r="Y264" s="8"/>
      <c r="Z264" s="8"/>
      <c r="AA264" s="8"/>
    </row>
    <row r="265" spans="1:27" x14ac:dyDescent="0.3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13"/>
      <c r="O265" s="13"/>
      <c r="P265" s="13"/>
      <c r="Q265" s="198"/>
      <c r="R265" s="198"/>
      <c r="S265" s="198"/>
      <c r="T265" s="198"/>
      <c r="U265" s="198"/>
      <c r="V265" s="8"/>
      <c r="W265" s="8"/>
      <c r="X265" s="8"/>
      <c r="Y265" s="8"/>
      <c r="Z265" s="8"/>
      <c r="AA265" s="8"/>
    </row>
    <row r="266" spans="1:27" x14ac:dyDescent="0.3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13"/>
      <c r="O266" s="13"/>
      <c r="P266" s="13"/>
      <c r="Q266" s="198"/>
      <c r="R266" s="198"/>
      <c r="S266" s="198"/>
      <c r="T266" s="198"/>
      <c r="U266" s="198"/>
      <c r="V266" s="8"/>
      <c r="W266" s="8"/>
      <c r="X266" s="8"/>
      <c r="Y266" s="8"/>
      <c r="Z266" s="8"/>
      <c r="AA266" s="8"/>
    </row>
    <row r="267" spans="1:27" x14ac:dyDescent="0.3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13"/>
      <c r="O267" s="13"/>
      <c r="P267" s="13"/>
      <c r="Q267" s="198"/>
      <c r="R267" s="198"/>
      <c r="S267" s="198"/>
      <c r="T267" s="198"/>
      <c r="U267" s="198"/>
      <c r="V267" s="8"/>
      <c r="W267" s="8"/>
      <c r="X267" s="8"/>
      <c r="Y267" s="8"/>
      <c r="Z267" s="8"/>
      <c r="AA267" s="8"/>
    </row>
    <row r="268" spans="1:27" x14ac:dyDescent="0.3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13"/>
      <c r="O268" s="13"/>
      <c r="P268" s="13"/>
      <c r="Q268" s="198"/>
      <c r="R268" s="198"/>
      <c r="S268" s="198"/>
      <c r="T268" s="198"/>
      <c r="U268" s="198"/>
      <c r="V268" s="8"/>
      <c r="W268" s="8"/>
      <c r="X268" s="8"/>
      <c r="Y268" s="8"/>
      <c r="Z268" s="8"/>
      <c r="AA268" s="8"/>
    </row>
    <row r="269" spans="1:27" x14ac:dyDescent="0.3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13"/>
      <c r="O269" s="13"/>
      <c r="P269" s="13"/>
      <c r="Q269" s="198"/>
      <c r="R269" s="198"/>
      <c r="S269" s="198"/>
      <c r="T269" s="198"/>
      <c r="U269" s="198"/>
      <c r="V269" s="8"/>
      <c r="W269" s="8"/>
      <c r="X269" s="8"/>
      <c r="Y269" s="8"/>
      <c r="Z269" s="8"/>
      <c r="AA269" s="8"/>
    </row>
    <row r="270" spans="1:27" x14ac:dyDescent="0.3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13"/>
      <c r="O270" s="13"/>
      <c r="P270" s="13"/>
      <c r="Q270" s="198"/>
      <c r="R270" s="198"/>
      <c r="S270" s="198"/>
      <c r="T270" s="198"/>
      <c r="U270" s="198"/>
      <c r="V270" s="8"/>
      <c r="W270" s="8"/>
      <c r="X270" s="8"/>
      <c r="Y270" s="8"/>
      <c r="Z270" s="8"/>
      <c r="AA270" s="8"/>
    </row>
    <row r="271" spans="1:27" x14ac:dyDescent="0.3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13"/>
      <c r="O271" s="13"/>
      <c r="P271" s="13"/>
      <c r="Q271" s="198"/>
      <c r="R271" s="198"/>
      <c r="S271" s="198"/>
      <c r="T271" s="198"/>
      <c r="U271" s="198"/>
      <c r="V271" s="8"/>
      <c r="W271" s="8"/>
      <c r="X271" s="8"/>
      <c r="Y271" s="8"/>
      <c r="Z271" s="8"/>
      <c r="AA271" s="8"/>
    </row>
    <row r="272" spans="1:27" x14ac:dyDescent="0.3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13"/>
      <c r="O272" s="13"/>
      <c r="P272" s="13"/>
      <c r="Q272" s="198"/>
      <c r="R272" s="198"/>
      <c r="S272" s="198"/>
      <c r="T272" s="198"/>
      <c r="U272" s="198"/>
      <c r="V272" s="8"/>
      <c r="W272" s="8"/>
      <c r="X272" s="8"/>
      <c r="Y272" s="8"/>
      <c r="Z272" s="8"/>
      <c r="AA272" s="8"/>
    </row>
    <row r="273" spans="1:27" x14ac:dyDescent="0.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13"/>
      <c r="O273" s="13"/>
      <c r="P273" s="13"/>
      <c r="Q273" s="198"/>
      <c r="R273" s="198"/>
      <c r="S273" s="198"/>
      <c r="T273" s="198"/>
      <c r="U273" s="198"/>
      <c r="V273" s="8"/>
      <c r="W273" s="8"/>
      <c r="X273" s="8"/>
      <c r="Y273" s="8"/>
      <c r="Z273" s="8"/>
      <c r="AA273" s="8"/>
    </row>
    <row r="274" spans="1:27" x14ac:dyDescent="0.3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13"/>
      <c r="O274" s="13"/>
      <c r="P274" s="13"/>
      <c r="Q274" s="198"/>
      <c r="R274" s="198"/>
      <c r="S274" s="198"/>
      <c r="T274" s="198"/>
      <c r="U274" s="198"/>
      <c r="V274" s="8"/>
      <c r="W274" s="8"/>
      <c r="X274" s="8"/>
      <c r="Y274" s="8"/>
      <c r="Z274" s="8"/>
      <c r="AA274" s="8"/>
    </row>
    <row r="275" spans="1:27" x14ac:dyDescent="0.3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13"/>
      <c r="O275" s="13"/>
      <c r="P275" s="13"/>
      <c r="Q275" s="198"/>
      <c r="R275" s="198"/>
      <c r="S275" s="198"/>
      <c r="T275" s="198"/>
      <c r="U275" s="198"/>
      <c r="V275" s="8"/>
      <c r="W275" s="8"/>
      <c r="X275" s="8"/>
      <c r="Y275" s="8"/>
      <c r="Z275" s="8"/>
      <c r="AA275" s="8"/>
    </row>
    <row r="276" spans="1:27" x14ac:dyDescent="0.3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13"/>
      <c r="O276" s="13"/>
      <c r="P276" s="13"/>
      <c r="Q276" s="198"/>
      <c r="R276" s="198"/>
      <c r="S276" s="198"/>
      <c r="T276" s="198"/>
      <c r="U276" s="198"/>
      <c r="V276" s="8"/>
      <c r="W276" s="8"/>
      <c r="X276" s="8"/>
      <c r="Y276" s="8"/>
      <c r="Z276" s="8"/>
      <c r="AA276" s="8"/>
    </row>
    <row r="277" spans="1:27" x14ac:dyDescent="0.3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13"/>
      <c r="O277" s="13"/>
      <c r="P277" s="13"/>
      <c r="Q277" s="198"/>
      <c r="R277" s="198"/>
      <c r="S277" s="198"/>
      <c r="T277" s="198"/>
      <c r="U277" s="198"/>
      <c r="V277" s="8"/>
      <c r="W277" s="8"/>
      <c r="X277" s="8"/>
      <c r="Y277" s="8"/>
      <c r="Z277" s="8"/>
      <c r="AA277" s="8"/>
    </row>
    <row r="278" spans="1:27" x14ac:dyDescent="0.3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13"/>
      <c r="O278" s="13"/>
      <c r="P278" s="13"/>
      <c r="Q278" s="198"/>
      <c r="R278" s="198"/>
      <c r="S278" s="198"/>
      <c r="T278" s="198"/>
      <c r="U278" s="198"/>
      <c r="V278" s="8"/>
      <c r="W278" s="8"/>
      <c r="X278" s="8"/>
      <c r="Y278" s="8"/>
      <c r="Z278" s="8"/>
      <c r="AA278" s="8"/>
    </row>
    <row r="279" spans="1:27" x14ac:dyDescent="0.3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13"/>
      <c r="O279" s="13"/>
      <c r="P279" s="13"/>
    </row>
    <row r="280" spans="1:27" x14ac:dyDescent="0.3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13"/>
      <c r="O280" s="13"/>
      <c r="P280" s="13"/>
    </row>
    <row r="281" spans="1:27" x14ac:dyDescent="0.3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13"/>
      <c r="O281" s="13"/>
      <c r="P281" s="13"/>
    </row>
    <row r="282" spans="1:27" x14ac:dyDescent="0.3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13"/>
      <c r="O282" s="13"/>
      <c r="P282" s="13"/>
    </row>
    <row r="283" spans="1:27" x14ac:dyDescent="0.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13"/>
      <c r="O283" s="13"/>
      <c r="P283" s="13"/>
    </row>
    <row r="284" spans="1:27" x14ac:dyDescent="0.3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13"/>
      <c r="O284" s="13"/>
      <c r="P284" s="13"/>
    </row>
    <row r="285" spans="1:27" x14ac:dyDescent="0.3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13"/>
      <c r="O285" s="13"/>
      <c r="P285" s="13"/>
    </row>
    <row r="286" spans="1:27" x14ac:dyDescent="0.3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13"/>
      <c r="O286" s="13"/>
      <c r="P286" s="13"/>
    </row>
    <row r="287" spans="1:27" x14ac:dyDescent="0.3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13"/>
      <c r="O287" s="13"/>
      <c r="P287" s="13"/>
    </row>
    <row r="288" spans="1:27" x14ac:dyDescent="0.3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13"/>
      <c r="O288" s="13"/>
      <c r="P288" s="13"/>
    </row>
    <row r="289" spans="1:16" x14ac:dyDescent="0.3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13"/>
      <c r="O289" s="13"/>
      <c r="P289" s="13"/>
    </row>
    <row r="290" spans="1:16" x14ac:dyDescent="0.3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13"/>
      <c r="O290" s="13"/>
      <c r="P290" s="13"/>
    </row>
    <row r="291" spans="1:16" x14ac:dyDescent="0.3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13"/>
      <c r="O291" s="13"/>
      <c r="P291" s="13"/>
    </row>
  </sheetData>
  <mergeCells count="27">
    <mergeCell ref="A2:AB3"/>
    <mergeCell ref="A1:AB1"/>
    <mergeCell ref="A5:P5"/>
    <mergeCell ref="A6:A8"/>
    <mergeCell ref="B6:B8"/>
    <mergeCell ref="C6:C8"/>
    <mergeCell ref="D6:D8"/>
    <mergeCell ref="E6:E8"/>
    <mergeCell ref="F6:F8"/>
    <mergeCell ref="G6:G8"/>
    <mergeCell ref="Z6:Z8"/>
    <mergeCell ref="H6:H8"/>
    <mergeCell ref="I6:I8"/>
    <mergeCell ref="J6:J8"/>
    <mergeCell ref="K6:K8"/>
    <mergeCell ref="L6:L7"/>
    <mergeCell ref="M6:M7"/>
    <mergeCell ref="AA6:AB7"/>
    <mergeCell ref="Q7:R7"/>
    <mergeCell ref="S7:T7"/>
    <mergeCell ref="V7:V8"/>
    <mergeCell ref="W7:W8"/>
    <mergeCell ref="N6:N8"/>
    <mergeCell ref="O6:P7"/>
    <mergeCell ref="Q6:W6"/>
    <mergeCell ref="X6:X8"/>
    <mergeCell ref="Y6:Y8"/>
  </mergeCells>
  <pageMargins left="0.51181102362204722" right="0" top="0.15748031496062992" bottom="0.15748031496062992" header="0.31496062992125984" footer="0.31496062992125984"/>
  <pageSetup paperSize="9" scale="24" orientation="portrait" r:id="rId1"/>
  <colBreaks count="1" manualBreakCount="1">
    <brk id="16" min="4" max="2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01.01.2020 г..</vt:lpstr>
      <vt:lpstr>'01.01.2020 г..'!Заголовки_для_печати</vt:lpstr>
      <vt:lpstr>'01.01.2020 г..'!Область_печати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ПТУ-39</dc:creator>
  <cp:lastModifiedBy>admin89</cp:lastModifiedBy>
  <cp:lastPrinted>2020-03-16T07:50:54Z</cp:lastPrinted>
  <dcterms:created xsi:type="dcterms:W3CDTF">2000-10-26T08:43:03Z</dcterms:created>
  <dcterms:modified xsi:type="dcterms:W3CDTF">2020-03-24T05:56:57Z</dcterms:modified>
</cp:coreProperties>
</file>