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чФинУпр\Desktop\2018\НПА 2018\"/>
    </mc:Choice>
  </mc:AlternateContent>
  <bookViews>
    <workbookView xWindow="0" yWindow="0" windowWidth="21600" windowHeight="9735" activeTab="3"/>
  </bookViews>
  <sheets>
    <sheet name="Пр 1 норм" sheetId="20" r:id="rId1"/>
    <sheet name="Пр 2 доход на 2018г" sheetId="1" r:id="rId2"/>
    <sheet name="Пр 3 доход на 2019-2020гг" sheetId="2" r:id="rId3"/>
    <sheet name="Пр 4 админ. доход" sheetId="21" r:id="rId4"/>
    <sheet name="Пр 5 функ 2018г" sheetId="16" r:id="rId5"/>
    <sheet name="Пр 6 функ" sheetId="19" r:id="rId6"/>
    <sheet name="ПР 7 ведом" sheetId="3" r:id="rId7"/>
    <sheet name="ПР 8 ведом" sheetId="17" r:id="rId8"/>
    <sheet name="ПР 9 КЦП" sheetId="4" r:id="rId9"/>
    <sheet name="ПР 10 КЦП" sheetId="18" r:id="rId10"/>
    <sheet name="Пр 11 райФПП" sheetId="14" r:id="rId11"/>
    <sheet name="Пр 14 райФПП" sheetId="15" r:id="rId12"/>
    <sheet name="Пр 15 сбалан" sheetId="12" r:id="rId13"/>
    <sheet name="Пр 16 сбалан" sheetId="13" r:id="rId14"/>
    <sheet name="Пр 17 Алк" sheetId="10" r:id="rId15"/>
    <sheet name="Пр 18 Алк" sheetId="11" r:id="rId16"/>
    <sheet name="Пр 19 Вус" sheetId="8" r:id="rId17"/>
    <sheet name="Пр 20 Вус" sheetId="9" r:id="rId18"/>
    <sheet name="Пр 21 комм" sheetId="6" r:id="rId19"/>
    <sheet name="Пр 22 комм" sheetId="7" r:id="rId20"/>
  </sheets>
  <definedNames>
    <definedName name="_xlnm._FilterDatabase" localSheetId="4" hidden="1">'Пр 5 функ 2018г'!$B$13:$C$605</definedName>
    <definedName name="_xlnm._FilterDatabase" localSheetId="5" hidden="1">'Пр 6 функ'!$B$13:$C$605</definedName>
    <definedName name="_xlnm._FilterDatabase" localSheetId="6" hidden="1">'ПР 7 ведом'!$B$13:$F$653</definedName>
    <definedName name="_xlnm._FilterDatabase" localSheetId="7" hidden="1">'ПР 8 ведом'!$B$13:$F$657</definedName>
    <definedName name="_xlnm.Print_Area" localSheetId="9">'ПР 10 КЦП'!$A$1:$E$57</definedName>
    <definedName name="_xlnm.Print_Area" localSheetId="10">'Пр 11 райФПП'!$A$1:$E$23</definedName>
    <definedName name="_xlnm.Print_Area" localSheetId="14">'Пр 17 Алк'!$A$1:$E$23</definedName>
    <definedName name="_xlnm.Print_Area" localSheetId="15">'Пр 18 Алк'!$A$1:$F$25</definedName>
    <definedName name="_xlnm.Print_Area" localSheetId="16">'Пр 19 Вус'!$A$1:$E$19</definedName>
    <definedName name="_xlnm.Print_Area" localSheetId="1">'Пр 2 доход на 2018г'!$A$1:$C$79</definedName>
    <definedName name="_xlnm.Print_Area" localSheetId="17">'Пр 20 Вус'!$A$1:$E$20</definedName>
    <definedName name="_xlnm.Print_Area" localSheetId="2">'Пр 3 доход на 2019-2020гг'!$A$1:$D$81</definedName>
    <definedName name="_xlnm.Print_Area" localSheetId="3">'Пр 4 админ. доход'!$A$1:$C$74</definedName>
    <definedName name="_xlnm.Print_Area" localSheetId="4">'Пр 5 функ 2018г'!$A$1:$F$605</definedName>
    <definedName name="_xlnm.Print_Area" localSheetId="5">'Пр 6 функ'!$A$1:$G$608</definedName>
    <definedName name="_xlnm.Print_Area" localSheetId="6">'ПР 7 ведом'!$A$1:$G$669</definedName>
    <definedName name="_xlnm.Print_Area" localSheetId="7">'ПР 8 ведом'!$A$1:$H$654</definedName>
    <definedName name="_xlnm.Print_Area" localSheetId="8">'ПР 9 КЦП'!$A$1:$D$57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C74" i="2"/>
  <c r="D57" i="2"/>
  <c r="D54" i="2" s="1"/>
  <c r="C57" i="2"/>
  <c r="C54" i="2" s="1"/>
  <c r="D47" i="2"/>
  <c r="D46" i="2" s="1"/>
  <c r="C47" i="2"/>
  <c r="C46" i="2" s="1"/>
  <c r="D43" i="2"/>
  <c r="C43" i="2"/>
  <c r="D38" i="2"/>
  <c r="C38" i="2"/>
  <c r="D35" i="2"/>
  <c r="C35" i="2"/>
  <c r="D32" i="2"/>
  <c r="C32" i="2"/>
  <c r="D30" i="2"/>
  <c r="C30" i="2"/>
  <c r="D27" i="2"/>
  <c r="C27" i="2"/>
  <c r="D23" i="2"/>
  <c r="C23" i="2"/>
  <c r="D19" i="2"/>
  <c r="C19" i="2"/>
  <c r="D16" i="2"/>
  <c r="C16" i="2"/>
  <c r="D15" i="2"/>
  <c r="C15" i="2"/>
  <c r="C72" i="1"/>
  <c r="C55" i="1"/>
  <c r="C52" i="1" s="1"/>
  <c r="C45" i="1"/>
  <c r="C44" i="1"/>
  <c r="C41" i="1"/>
  <c r="C36" i="1"/>
  <c r="C33" i="1"/>
  <c r="C30" i="1"/>
  <c r="C28" i="1"/>
  <c r="C25" i="1"/>
  <c r="C21" i="1"/>
  <c r="C17" i="1"/>
  <c r="C14" i="1"/>
  <c r="C13" i="1"/>
  <c r="C42" i="2" l="1"/>
  <c r="C41" i="2" s="1"/>
  <c r="D42" i="2"/>
  <c r="D41" i="2" s="1"/>
  <c r="C40" i="1"/>
  <c r="C39" i="1" s="1"/>
  <c r="F42" i="2" l="1"/>
  <c r="D77" i="2"/>
  <c r="D79" i="2" s="1"/>
  <c r="E42" i="2"/>
  <c r="C77" i="2"/>
  <c r="C79" i="2" s="1"/>
  <c r="C77" i="1"/>
  <c r="C79" i="1" s="1"/>
  <c r="E39" i="1"/>
  <c r="E23" i="18" l="1"/>
  <c r="D23" i="18"/>
  <c r="E22" i="18"/>
  <c r="D22" i="18"/>
  <c r="E21" i="18"/>
  <c r="D21" i="18"/>
  <c r="E20" i="18"/>
  <c r="D20" i="18"/>
  <c r="E19" i="18"/>
  <c r="D19" i="18"/>
  <c r="E18" i="18"/>
  <c r="D18" i="18"/>
  <c r="E26" i="18"/>
  <c r="D26" i="18"/>
  <c r="E28" i="18"/>
  <c r="D28" i="18"/>
  <c r="E29" i="18"/>
  <c r="D29" i="18"/>
  <c r="E40" i="18"/>
  <c r="D40" i="18"/>
  <c r="E41" i="18"/>
  <c r="D41" i="18"/>
  <c r="E42" i="18"/>
  <c r="D42" i="18"/>
  <c r="E43" i="18"/>
  <c r="D43" i="18"/>
  <c r="E44" i="18"/>
  <c r="D44" i="18"/>
  <c r="E46" i="18"/>
  <c r="D46" i="18"/>
  <c r="E47" i="18"/>
  <c r="D47" i="18"/>
  <c r="E48" i="18"/>
  <c r="D48" i="18"/>
  <c r="E49" i="18"/>
  <c r="D49" i="18"/>
  <c r="E50" i="18"/>
  <c r="D50" i="18"/>
  <c r="E51" i="18"/>
  <c r="D51" i="18"/>
  <c r="E52" i="18"/>
  <c r="D52" i="18"/>
  <c r="E53" i="18"/>
  <c r="D53" i="18"/>
  <c r="E54" i="18"/>
  <c r="D54" i="18"/>
  <c r="E55" i="18"/>
  <c r="D55" i="18"/>
  <c r="E56" i="18"/>
  <c r="D56" i="18"/>
  <c r="E57" i="18"/>
  <c r="D57" i="18"/>
  <c r="E22" i="15"/>
  <c r="D22" i="15"/>
  <c r="G580" i="19"/>
  <c r="G579" i="19" s="1"/>
  <c r="G578" i="19" s="1"/>
  <c r="G577" i="19" s="1"/>
  <c r="G576" i="19" s="1"/>
  <c r="G575" i="19" s="1"/>
  <c r="G574" i="19" s="1"/>
  <c r="F580" i="19"/>
  <c r="F579" i="19" s="1"/>
  <c r="F578" i="19" s="1"/>
  <c r="F577" i="19" s="1"/>
  <c r="F576" i="19" s="1"/>
  <c r="F575" i="19" s="1"/>
  <c r="F574" i="19" s="1"/>
  <c r="G587" i="19"/>
  <c r="G586" i="19" s="1"/>
  <c r="G585" i="19" s="1"/>
  <c r="G584" i="19" s="1"/>
  <c r="G583" i="19" s="1"/>
  <c r="G582" i="19" s="1"/>
  <c r="G581" i="19" s="1"/>
  <c r="F587" i="19"/>
  <c r="F586" i="19" s="1"/>
  <c r="F585" i="19" s="1"/>
  <c r="F584" i="19" s="1"/>
  <c r="F583" i="19" s="1"/>
  <c r="F582" i="19" s="1"/>
  <c r="F581" i="19" s="1"/>
  <c r="G605" i="19"/>
  <c r="G604" i="19" s="1"/>
  <c r="G603" i="19" s="1"/>
  <c r="G602" i="19" s="1"/>
  <c r="G601" i="19" s="1"/>
  <c r="G600" i="19" s="1"/>
  <c r="G599" i="19" s="1"/>
  <c r="F605" i="19"/>
  <c r="F604" i="19" s="1"/>
  <c r="F603" i="19" s="1"/>
  <c r="F602" i="19" s="1"/>
  <c r="F601" i="19" s="1"/>
  <c r="F600" i="19" s="1"/>
  <c r="F599" i="19" s="1"/>
  <c r="G598" i="19"/>
  <c r="G597" i="19" s="1"/>
  <c r="G596" i="19" s="1"/>
  <c r="G595" i="19" s="1"/>
  <c r="F598" i="19"/>
  <c r="F597" i="19" s="1"/>
  <c r="F596" i="19" s="1"/>
  <c r="F595" i="19" s="1"/>
  <c r="G594" i="19"/>
  <c r="G593" i="19" s="1"/>
  <c r="G592" i="19" s="1"/>
  <c r="G591" i="19" s="1"/>
  <c r="G590" i="19" s="1"/>
  <c r="G589" i="19" s="1"/>
  <c r="F594" i="19"/>
  <c r="F593" i="19" s="1"/>
  <c r="F592" i="19" s="1"/>
  <c r="F591" i="19" s="1"/>
  <c r="F590" i="19" s="1"/>
  <c r="F589" i="19" s="1"/>
  <c r="G573" i="19"/>
  <c r="G572" i="19" s="1"/>
  <c r="G571" i="19" s="1"/>
  <c r="G570" i="19" s="1"/>
  <c r="G569" i="19" s="1"/>
  <c r="G568" i="19" s="1"/>
  <c r="G567" i="19" s="1"/>
  <c r="F573" i="19"/>
  <c r="F572" i="19" s="1"/>
  <c r="F571" i="19" s="1"/>
  <c r="F570" i="19" s="1"/>
  <c r="F569" i="19" s="1"/>
  <c r="F568" i="19" s="1"/>
  <c r="F567" i="19" s="1"/>
  <c r="G566" i="19"/>
  <c r="G565" i="19" s="1"/>
  <c r="G564" i="19" s="1"/>
  <c r="G563" i="19" s="1"/>
  <c r="F566" i="19"/>
  <c r="F565" i="19" s="1"/>
  <c r="F564" i="19" s="1"/>
  <c r="F563" i="19" s="1"/>
  <c r="F562" i="19"/>
  <c r="G562" i="19"/>
  <c r="G561" i="19"/>
  <c r="F561" i="19"/>
  <c r="F558" i="19"/>
  <c r="G558" i="19"/>
  <c r="G557" i="19"/>
  <c r="F557" i="19"/>
  <c r="F554" i="19"/>
  <c r="G554" i="19"/>
  <c r="G553" i="19"/>
  <c r="F553" i="19"/>
  <c r="G547" i="19"/>
  <c r="G546" i="19" s="1"/>
  <c r="G545" i="19" s="1"/>
  <c r="G544" i="19" s="1"/>
  <c r="G543" i="19" s="1"/>
  <c r="G542" i="19" s="1"/>
  <c r="F547" i="19"/>
  <c r="F546" i="19" s="1"/>
  <c r="F545" i="19" s="1"/>
  <c r="F544" i="19" s="1"/>
  <c r="F543" i="19" s="1"/>
  <c r="F542" i="19" s="1"/>
  <c r="G540" i="19"/>
  <c r="G539" i="19" s="1"/>
  <c r="G538" i="19" s="1"/>
  <c r="G537" i="19" s="1"/>
  <c r="G536" i="19" s="1"/>
  <c r="F540" i="19"/>
  <c r="F539" i="19" s="1"/>
  <c r="F538" i="19" s="1"/>
  <c r="F537" i="19" s="1"/>
  <c r="F536" i="19" s="1"/>
  <c r="G535" i="19"/>
  <c r="G534" i="19" s="1"/>
  <c r="G533" i="19" s="1"/>
  <c r="G532" i="19" s="1"/>
  <c r="G531" i="19" s="1"/>
  <c r="G530" i="19" s="1"/>
  <c r="G529" i="19" s="1"/>
  <c r="F535" i="19"/>
  <c r="F534" i="19" s="1"/>
  <c r="F533" i="19" s="1"/>
  <c r="F532" i="19" s="1"/>
  <c r="F531" i="19" s="1"/>
  <c r="F530" i="19" s="1"/>
  <c r="F529" i="19" s="1"/>
  <c r="G527" i="19"/>
  <c r="G526" i="19" s="1"/>
  <c r="G525" i="19" s="1"/>
  <c r="G524" i="19" s="1"/>
  <c r="G523" i="19" s="1"/>
  <c r="F527" i="19"/>
  <c r="F526" i="19" s="1"/>
  <c r="F525" i="19" s="1"/>
  <c r="F524" i="19" s="1"/>
  <c r="F523" i="19" s="1"/>
  <c r="F522" i="19"/>
  <c r="G522" i="19"/>
  <c r="G521" i="19"/>
  <c r="G520" i="19" s="1"/>
  <c r="F521" i="19"/>
  <c r="F520" i="19" s="1"/>
  <c r="G518" i="19"/>
  <c r="G517" i="19" s="1"/>
  <c r="G516" i="19" s="1"/>
  <c r="F518" i="19"/>
  <c r="F517" i="19" s="1"/>
  <c r="F516" i="19" s="1"/>
  <c r="G513" i="19"/>
  <c r="G512" i="19" s="1"/>
  <c r="G511" i="19" s="1"/>
  <c r="F513" i="19"/>
  <c r="F512" i="19" s="1"/>
  <c r="F511" i="19" s="1"/>
  <c r="G510" i="19"/>
  <c r="G509" i="19" s="1"/>
  <c r="G508" i="19" s="1"/>
  <c r="F510" i="19"/>
  <c r="F509" i="19" s="1"/>
  <c r="F508" i="19" s="1"/>
  <c r="G505" i="19"/>
  <c r="G504" i="19" s="1"/>
  <c r="G503" i="19" s="1"/>
  <c r="G502" i="19" s="1"/>
  <c r="G501" i="19" s="1"/>
  <c r="F505" i="19"/>
  <c r="F504" i="19" s="1"/>
  <c r="F503" i="19" s="1"/>
  <c r="F502" i="19" s="1"/>
  <c r="F501" i="19" s="1"/>
  <c r="G500" i="19"/>
  <c r="G499" i="19" s="1"/>
  <c r="G498" i="19" s="1"/>
  <c r="F500" i="19"/>
  <c r="F499" i="19" s="1"/>
  <c r="F498" i="19" s="1"/>
  <c r="G497" i="19"/>
  <c r="G496" i="19" s="1"/>
  <c r="G495" i="19" s="1"/>
  <c r="F497" i="19"/>
  <c r="F496" i="19" s="1"/>
  <c r="F495" i="19" s="1"/>
  <c r="G491" i="19"/>
  <c r="G490" i="19" s="1"/>
  <c r="G489" i="19" s="1"/>
  <c r="G488" i="19" s="1"/>
  <c r="G487" i="19" s="1"/>
  <c r="F491" i="19"/>
  <c r="F490" i="19" s="1"/>
  <c r="F489" i="19" s="1"/>
  <c r="F488" i="19" s="1"/>
  <c r="F487" i="19" s="1"/>
  <c r="G486" i="19"/>
  <c r="G485" i="19" s="1"/>
  <c r="G484" i="19" s="1"/>
  <c r="F486" i="19"/>
  <c r="F485" i="19" s="1"/>
  <c r="F484" i="19" s="1"/>
  <c r="G483" i="19"/>
  <c r="G482" i="19" s="1"/>
  <c r="G481" i="19" s="1"/>
  <c r="F483" i="19"/>
  <c r="F482" i="19" s="1"/>
  <c r="F481" i="19" s="1"/>
  <c r="G478" i="19"/>
  <c r="G477" i="19" s="1"/>
  <c r="G476" i="19" s="1"/>
  <c r="G475" i="19" s="1"/>
  <c r="G474" i="19" s="1"/>
  <c r="F478" i="19"/>
  <c r="F477" i="19" s="1"/>
  <c r="F476" i="19" s="1"/>
  <c r="F475" i="19" s="1"/>
  <c r="F474" i="19" s="1"/>
  <c r="G469" i="19"/>
  <c r="G468" i="19" s="1"/>
  <c r="G467" i="19" s="1"/>
  <c r="G466" i="19" s="1"/>
  <c r="G465" i="19" s="1"/>
  <c r="G464" i="19" s="1"/>
  <c r="G463" i="19" s="1"/>
  <c r="G462" i="19" s="1"/>
  <c r="F469" i="19"/>
  <c r="F468" i="19" s="1"/>
  <c r="F467" i="19" s="1"/>
  <c r="F466" i="19" s="1"/>
  <c r="F465" i="19" s="1"/>
  <c r="F464" i="19" s="1"/>
  <c r="F463" i="19" s="1"/>
  <c r="F462" i="19" s="1"/>
  <c r="F461" i="19"/>
  <c r="G461" i="19"/>
  <c r="G460" i="19"/>
  <c r="F460" i="19"/>
  <c r="F457" i="19"/>
  <c r="G457" i="19"/>
  <c r="G456" i="19"/>
  <c r="F456" i="19"/>
  <c r="F452" i="19"/>
  <c r="G452" i="19"/>
  <c r="G451" i="19"/>
  <c r="F451" i="19"/>
  <c r="G446" i="19"/>
  <c r="G445" i="19" s="1"/>
  <c r="G444" i="19" s="1"/>
  <c r="G443" i="19" s="1"/>
  <c r="G442" i="19" s="1"/>
  <c r="F446" i="19"/>
  <c r="F445" i="19" s="1"/>
  <c r="F444" i="19" s="1"/>
  <c r="F443" i="19" s="1"/>
  <c r="F442" i="19" s="1"/>
  <c r="G440" i="19"/>
  <c r="G439" i="19" s="1"/>
  <c r="G438" i="19" s="1"/>
  <c r="F440" i="19"/>
  <c r="F439" i="19" s="1"/>
  <c r="F438" i="19" s="1"/>
  <c r="G437" i="19"/>
  <c r="G436" i="19" s="1"/>
  <c r="G435" i="19" s="1"/>
  <c r="F437" i="19"/>
  <c r="F436" i="19" s="1"/>
  <c r="F435" i="19" s="1"/>
  <c r="G433" i="19"/>
  <c r="G432" i="19" s="1"/>
  <c r="G431" i="19" s="1"/>
  <c r="F433" i="19"/>
  <c r="F432" i="19" s="1"/>
  <c r="F431" i="19" s="1"/>
  <c r="G430" i="19"/>
  <c r="G429" i="19" s="1"/>
  <c r="G428" i="19" s="1"/>
  <c r="F430" i="19"/>
  <c r="F429" i="19" s="1"/>
  <c r="F428" i="19" s="1"/>
  <c r="G425" i="19"/>
  <c r="G424" i="19" s="1"/>
  <c r="G423" i="19" s="1"/>
  <c r="F425" i="19"/>
  <c r="F424" i="19" s="1"/>
  <c r="F423" i="19" s="1"/>
  <c r="F422" i="19"/>
  <c r="G422" i="19"/>
  <c r="G421" i="19"/>
  <c r="F421" i="19"/>
  <c r="G416" i="19"/>
  <c r="G415" i="19" s="1"/>
  <c r="G414" i="19" s="1"/>
  <c r="G413" i="19" s="1"/>
  <c r="G412" i="19" s="1"/>
  <c r="F416" i="19"/>
  <c r="F415" i="19" s="1"/>
  <c r="F414" i="19" s="1"/>
  <c r="F413" i="19" s="1"/>
  <c r="F412" i="19" s="1"/>
  <c r="G35" i="17"/>
  <c r="F408" i="19"/>
  <c r="G408" i="19"/>
  <c r="G407" i="19"/>
  <c r="F407" i="19"/>
  <c r="F403" i="19"/>
  <c r="G403" i="19"/>
  <c r="F404" i="19"/>
  <c r="G404" i="19"/>
  <c r="G402" i="19"/>
  <c r="F402" i="19"/>
  <c r="G398" i="19"/>
  <c r="G397" i="19" s="1"/>
  <c r="F398" i="19"/>
  <c r="F397" i="19" s="1"/>
  <c r="G396" i="19"/>
  <c r="G395" i="19" s="1"/>
  <c r="G394" i="19" s="1"/>
  <c r="F396" i="19"/>
  <c r="F395" i="19" s="1"/>
  <c r="F394" i="19" s="1"/>
  <c r="F392" i="19"/>
  <c r="G392" i="19"/>
  <c r="F391" i="19"/>
  <c r="G391" i="19"/>
  <c r="G390" i="19"/>
  <c r="F390" i="19"/>
  <c r="F387" i="19"/>
  <c r="G387" i="19"/>
  <c r="G386" i="19"/>
  <c r="F386" i="19"/>
  <c r="G383" i="19"/>
  <c r="G382" i="19" s="1"/>
  <c r="G381" i="19" s="1"/>
  <c r="F383" i="19"/>
  <c r="F382" i="19" s="1"/>
  <c r="F381" i="19" s="1"/>
  <c r="F380" i="19"/>
  <c r="G380" i="19"/>
  <c r="G379" i="19"/>
  <c r="F379" i="19"/>
  <c r="F375" i="19"/>
  <c r="G375" i="19"/>
  <c r="G374" i="19"/>
  <c r="F374" i="19"/>
  <c r="G368" i="19"/>
  <c r="G367" i="19" s="1"/>
  <c r="G366" i="19" s="1"/>
  <c r="G365" i="19" s="1"/>
  <c r="G364" i="19" s="1"/>
  <c r="F368" i="19"/>
  <c r="F367" i="19" s="1"/>
  <c r="F366" i="19" s="1"/>
  <c r="F365" i="19" s="1"/>
  <c r="F364" i="19" s="1"/>
  <c r="G363" i="19"/>
  <c r="G362" i="19" s="1"/>
  <c r="F363" i="19"/>
  <c r="F362" i="19" s="1"/>
  <c r="G361" i="19"/>
  <c r="G360" i="19" s="1"/>
  <c r="F361" i="19"/>
  <c r="F360" i="19" s="1"/>
  <c r="G355" i="19"/>
  <c r="G354" i="19" s="1"/>
  <c r="G353" i="19" s="1"/>
  <c r="G352" i="19" s="1"/>
  <c r="F355" i="19"/>
  <c r="F354" i="19" s="1"/>
  <c r="F353" i="19" s="1"/>
  <c r="F352" i="19" s="1"/>
  <c r="G351" i="19"/>
  <c r="G350" i="19" s="1"/>
  <c r="G349" i="19" s="1"/>
  <c r="G348" i="19" s="1"/>
  <c r="G347" i="19" s="1"/>
  <c r="F351" i="19"/>
  <c r="F350" i="19" s="1"/>
  <c r="F349" i="19" s="1"/>
  <c r="F348" i="19" s="1"/>
  <c r="F347" i="19" s="1"/>
  <c r="G345" i="19"/>
  <c r="G344" i="19" s="1"/>
  <c r="F345" i="19"/>
  <c r="F344" i="19" s="1"/>
  <c r="G343" i="19"/>
  <c r="G342" i="19" s="1"/>
  <c r="F343" i="19"/>
  <c r="F342" i="19" s="1"/>
  <c r="G340" i="19"/>
  <c r="G339" i="19" s="1"/>
  <c r="G338" i="19" s="1"/>
  <c r="F340" i="19"/>
  <c r="F339" i="19" s="1"/>
  <c r="F338" i="19" s="1"/>
  <c r="G335" i="19"/>
  <c r="G334" i="19" s="1"/>
  <c r="G333" i="19" s="1"/>
  <c r="G332" i="19" s="1"/>
  <c r="F335" i="19"/>
  <c r="F334" i="19" s="1"/>
  <c r="F333" i="19" s="1"/>
  <c r="F332" i="19" s="1"/>
  <c r="G331" i="19"/>
  <c r="G330" i="19" s="1"/>
  <c r="F331" i="19"/>
  <c r="F330" i="19" s="1"/>
  <c r="G329" i="19"/>
  <c r="G328" i="19" s="1"/>
  <c r="F329" i="19"/>
  <c r="F328" i="19" s="1"/>
  <c r="G326" i="19"/>
  <c r="G325" i="19" s="1"/>
  <c r="G324" i="19" s="1"/>
  <c r="F326" i="19"/>
  <c r="F325" i="19" s="1"/>
  <c r="F324" i="19" s="1"/>
  <c r="F323" i="19"/>
  <c r="G323" i="19"/>
  <c r="G322" i="19"/>
  <c r="F322" i="19"/>
  <c r="F318" i="19"/>
  <c r="G318" i="19"/>
  <c r="G317" i="19"/>
  <c r="F317" i="19"/>
  <c r="G314" i="19"/>
  <c r="G313" i="19" s="1"/>
  <c r="F314" i="19"/>
  <c r="F313" i="19" s="1"/>
  <c r="G312" i="19"/>
  <c r="G311" i="19" s="1"/>
  <c r="F312" i="19"/>
  <c r="F311" i="19" s="1"/>
  <c r="F309" i="19"/>
  <c r="G309" i="19"/>
  <c r="G308" i="19"/>
  <c r="F308" i="19"/>
  <c r="G302" i="19"/>
  <c r="G301" i="19" s="1"/>
  <c r="F302" i="19"/>
  <c r="F301" i="19" s="1"/>
  <c r="G299" i="19"/>
  <c r="G297" i="19" s="1"/>
  <c r="F299" i="19"/>
  <c r="F297" i="19" s="1"/>
  <c r="G294" i="19"/>
  <c r="G293" i="19" s="1"/>
  <c r="G292" i="19" s="1"/>
  <c r="F294" i="19"/>
  <c r="F293" i="19" s="1"/>
  <c r="F292" i="19" s="1"/>
  <c r="G291" i="19"/>
  <c r="G290" i="19" s="1"/>
  <c r="G289" i="19" s="1"/>
  <c r="F291" i="19"/>
  <c r="F290" i="19" s="1"/>
  <c r="F289" i="19" s="1"/>
  <c r="F288" i="19"/>
  <c r="G288" i="19"/>
  <c r="G287" i="19"/>
  <c r="F287" i="19"/>
  <c r="G282" i="19"/>
  <c r="G283" i="19"/>
  <c r="F283" i="19"/>
  <c r="F282" i="19"/>
  <c r="G279" i="19"/>
  <c r="G278" i="19" s="1"/>
  <c r="G277" i="19" s="1"/>
  <c r="F279" i="19"/>
  <c r="F278" i="19" s="1"/>
  <c r="F277" i="19" s="1"/>
  <c r="G276" i="19"/>
  <c r="G275" i="19" s="1"/>
  <c r="G274" i="19" s="1"/>
  <c r="F276" i="19"/>
  <c r="F275" i="19" s="1"/>
  <c r="F274" i="19" s="1"/>
  <c r="F273" i="19"/>
  <c r="G273" i="19"/>
  <c r="G272" i="19"/>
  <c r="F272" i="19"/>
  <c r="G264" i="19"/>
  <c r="G263" i="19" s="1"/>
  <c r="G262" i="19" s="1"/>
  <c r="G261" i="19" s="1"/>
  <c r="F264" i="19"/>
  <c r="F263" i="19" s="1"/>
  <c r="F262" i="19" s="1"/>
  <c r="F261" i="19" s="1"/>
  <c r="G260" i="19"/>
  <c r="G259" i="19" s="1"/>
  <c r="G258" i="19" s="1"/>
  <c r="G257" i="19" s="1"/>
  <c r="F260" i="19"/>
  <c r="F259" i="19" s="1"/>
  <c r="F258" i="19" s="1"/>
  <c r="F257" i="19" s="1"/>
  <c r="G256" i="19"/>
  <c r="G255" i="19" s="1"/>
  <c r="G254" i="19" s="1"/>
  <c r="G253" i="19" s="1"/>
  <c r="F256" i="19"/>
  <c r="F255" i="19" s="1"/>
  <c r="F254" i="19" s="1"/>
  <c r="F253" i="19" s="1"/>
  <c r="G249" i="19"/>
  <c r="G248" i="19" s="1"/>
  <c r="G247" i="19" s="1"/>
  <c r="G246" i="19" s="1"/>
  <c r="F249" i="19"/>
  <c r="F248" i="19" s="1"/>
  <c r="F247" i="19" s="1"/>
  <c r="F246" i="19" s="1"/>
  <c r="G245" i="19"/>
  <c r="G244" i="19" s="1"/>
  <c r="G243" i="19" s="1"/>
  <c r="G242" i="19" s="1"/>
  <c r="F245" i="19"/>
  <c r="F244" i="19" s="1"/>
  <c r="F243" i="19" s="1"/>
  <c r="F242" i="19" s="1"/>
  <c r="G240" i="19"/>
  <c r="G239" i="19" s="1"/>
  <c r="G238" i="19" s="1"/>
  <c r="G237" i="19" s="1"/>
  <c r="G236" i="19" s="1"/>
  <c r="F240" i="19"/>
  <c r="F239" i="19" s="1"/>
  <c r="F238" i="19" s="1"/>
  <c r="F237" i="19" s="1"/>
  <c r="F236" i="19" s="1"/>
  <c r="G235" i="19"/>
  <c r="G234" i="19" s="1"/>
  <c r="G233" i="19" s="1"/>
  <c r="G232" i="19" s="1"/>
  <c r="G231" i="19" s="1"/>
  <c r="F235" i="19"/>
  <c r="F234" i="19" s="1"/>
  <c r="F233" i="19" s="1"/>
  <c r="F232" i="19" s="1"/>
  <c r="F231" i="19" s="1"/>
  <c r="G230" i="19"/>
  <c r="G229" i="19" s="1"/>
  <c r="G228" i="19" s="1"/>
  <c r="F230" i="19"/>
  <c r="F229" i="19" s="1"/>
  <c r="F228" i="19" s="1"/>
  <c r="G227" i="19"/>
  <c r="G226" i="19" s="1"/>
  <c r="G225" i="19" s="1"/>
  <c r="F227" i="19"/>
  <c r="F226" i="19" s="1"/>
  <c r="F225" i="19" s="1"/>
  <c r="G222" i="19"/>
  <c r="G221" i="19" s="1"/>
  <c r="G220" i="19" s="1"/>
  <c r="G219" i="19" s="1"/>
  <c r="G218" i="19" s="1"/>
  <c r="F222" i="19"/>
  <c r="F221" i="19" s="1"/>
  <c r="F220" i="19" s="1"/>
  <c r="F219" i="19" s="1"/>
  <c r="F218" i="19" s="1"/>
  <c r="G216" i="19"/>
  <c r="G215" i="19" s="1"/>
  <c r="G214" i="19" s="1"/>
  <c r="G213" i="19" s="1"/>
  <c r="G212" i="19" s="1"/>
  <c r="F216" i="19"/>
  <c r="F215" i="19" s="1"/>
  <c r="F214" i="19" s="1"/>
  <c r="F213" i="19" s="1"/>
  <c r="F212" i="19" s="1"/>
  <c r="G211" i="19"/>
  <c r="G210" i="19" s="1"/>
  <c r="G209" i="19" s="1"/>
  <c r="G208" i="19" s="1"/>
  <c r="F211" i="19"/>
  <c r="F210" i="19" s="1"/>
  <c r="F209" i="19" s="1"/>
  <c r="F208" i="19" s="1"/>
  <c r="G207" i="19"/>
  <c r="G206" i="19" s="1"/>
  <c r="G205" i="19" s="1"/>
  <c r="G204" i="19" s="1"/>
  <c r="F207" i="19"/>
  <c r="F206" i="19" s="1"/>
  <c r="F205" i="19" s="1"/>
  <c r="F204" i="19" s="1"/>
  <c r="G203" i="19"/>
  <c r="G202" i="19" s="1"/>
  <c r="G201" i="19" s="1"/>
  <c r="G200" i="19" s="1"/>
  <c r="F203" i="19"/>
  <c r="F202" i="19" s="1"/>
  <c r="F201" i="19" s="1"/>
  <c r="F200" i="19" s="1"/>
  <c r="G199" i="19"/>
  <c r="G198" i="19" s="1"/>
  <c r="G197" i="19" s="1"/>
  <c r="G196" i="19" s="1"/>
  <c r="F199" i="19"/>
  <c r="F198" i="19" s="1"/>
  <c r="F197" i="19" s="1"/>
  <c r="F196" i="19" s="1"/>
  <c r="G195" i="19"/>
  <c r="G194" i="19" s="1"/>
  <c r="G193" i="19" s="1"/>
  <c r="G192" i="19" s="1"/>
  <c r="F195" i="19"/>
  <c r="F194" i="19" s="1"/>
  <c r="F193" i="19" s="1"/>
  <c r="F192" i="19" s="1"/>
  <c r="G191" i="19"/>
  <c r="G190" i="19" s="1"/>
  <c r="G189" i="19" s="1"/>
  <c r="G188" i="19" s="1"/>
  <c r="F191" i="19"/>
  <c r="F190" i="19" s="1"/>
  <c r="F189" i="19" s="1"/>
  <c r="F188" i="19" s="1"/>
  <c r="G184" i="19"/>
  <c r="G183" i="19" s="1"/>
  <c r="G182" i="19" s="1"/>
  <c r="G181" i="19" s="1"/>
  <c r="G180" i="19" s="1"/>
  <c r="G179" i="19" s="1"/>
  <c r="F184" i="19"/>
  <c r="F183" i="19" s="1"/>
  <c r="F182" i="19" s="1"/>
  <c r="F181" i="19" s="1"/>
  <c r="F180" i="19" s="1"/>
  <c r="F179" i="19" s="1"/>
  <c r="G177" i="19"/>
  <c r="G176" i="19" s="1"/>
  <c r="G175" i="19" s="1"/>
  <c r="F177" i="19"/>
  <c r="F176" i="19" s="1"/>
  <c r="F175" i="19" s="1"/>
  <c r="F174" i="19"/>
  <c r="G174" i="19"/>
  <c r="G173" i="19"/>
  <c r="F173" i="19"/>
  <c r="G170" i="19"/>
  <c r="G169" i="19" s="1"/>
  <c r="F170" i="19"/>
  <c r="F169" i="19" s="1"/>
  <c r="F168" i="19"/>
  <c r="G168" i="19"/>
  <c r="G167" i="19"/>
  <c r="F167" i="19"/>
  <c r="G159" i="19"/>
  <c r="G158" i="19" s="1"/>
  <c r="G157" i="19" s="1"/>
  <c r="G156" i="19" s="1"/>
  <c r="F159" i="19"/>
  <c r="F158" i="19" s="1"/>
  <c r="F157" i="19" s="1"/>
  <c r="F156" i="19" s="1"/>
  <c r="G155" i="19"/>
  <c r="G154" i="19" s="1"/>
  <c r="G153" i="19" s="1"/>
  <c r="G152" i="19" s="1"/>
  <c r="F155" i="19"/>
  <c r="F154" i="19" s="1"/>
  <c r="F153" i="19" s="1"/>
  <c r="F152" i="19" s="1"/>
  <c r="G149" i="19"/>
  <c r="G148" i="19" s="1"/>
  <c r="G147" i="19" s="1"/>
  <c r="G146" i="19" s="1"/>
  <c r="G145" i="19" s="1"/>
  <c r="F149" i="19"/>
  <c r="F148" i="19" s="1"/>
  <c r="F147" i="19" s="1"/>
  <c r="F146" i="19" s="1"/>
  <c r="F145" i="19" s="1"/>
  <c r="F144" i="19"/>
  <c r="G144" i="19"/>
  <c r="G143" i="19"/>
  <c r="F143" i="19"/>
  <c r="F140" i="19"/>
  <c r="G140" i="19"/>
  <c r="G139" i="19"/>
  <c r="F139" i="19"/>
  <c r="G133" i="19"/>
  <c r="G132" i="19" s="1"/>
  <c r="G131" i="19" s="1"/>
  <c r="G130" i="19" s="1"/>
  <c r="F133" i="19"/>
  <c r="F132" i="19" s="1"/>
  <c r="F131" i="19" s="1"/>
  <c r="F130" i="19" s="1"/>
  <c r="G129" i="19"/>
  <c r="G128" i="19" s="1"/>
  <c r="G127" i="19" s="1"/>
  <c r="F129" i="19"/>
  <c r="F128" i="19" s="1"/>
  <c r="F127" i="19" s="1"/>
  <c r="F126" i="19"/>
  <c r="G126" i="19"/>
  <c r="G125" i="19"/>
  <c r="F125" i="19"/>
  <c r="G118" i="19"/>
  <c r="G117" i="19" s="1"/>
  <c r="G116" i="19" s="1"/>
  <c r="F118" i="19"/>
  <c r="F117" i="19" s="1"/>
  <c r="F116" i="19" s="1"/>
  <c r="F115" i="19"/>
  <c r="G115" i="19"/>
  <c r="G114" i="19"/>
  <c r="F114" i="19"/>
  <c r="G110" i="19"/>
  <c r="G109" i="19" s="1"/>
  <c r="F110" i="19"/>
  <c r="F109" i="19" s="1"/>
  <c r="G108" i="19"/>
  <c r="G107" i="19" s="1"/>
  <c r="G106" i="19" s="1"/>
  <c r="F108" i="19"/>
  <c r="F107" i="19" s="1"/>
  <c r="F106" i="19" s="1"/>
  <c r="G104" i="19"/>
  <c r="G103" i="19" s="1"/>
  <c r="G102" i="19" s="1"/>
  <c r="G101" i="19" s="1"/>
  <c r="F104" i="19"/>
  <c r="F103" i="19" s="1"/>
  <c r="F102" i="19" s="1"/>
  <c r="F101" i="19" s="1"/>
  <c r="G100" i="19"/>
  <c r="G99" i="19" s="1"/>
  <c r="G98" i="19" s="1"/>
  <c r="G97" i="19" s="1"/>
  <c r="G96" i="19" s="1"/>
  <c r="F100" i="19"/>
  <c r="F99" i="19" s="1"/>
  <c r="F98" i="19" s="1"/>
  <c r="F97" i="19" s="1"/>
  <c r="F96" i="19" s="1"/>
  <c r="G94" i="19"/>
  <c r="G93" i="19" s="1"/>
  <c r="G92" i="19" s="1"/>
  <c r="G91" i="19" s="1"/>
  <c r="G90" i="19" s="1"/>
  <c r="F94" i="19"/>
  <c r="F93" i="19" s="1"/>
  <c r="F92" i="19" s="1"/>
  <c r="F91" i="19" s="1"/>
  <c r="F90" i="19" s="1"/>
  <c r="F89" i="19"/>
  <c r="G89" i="19"/>
  <c r="G88" i="19"/>
  <c r="F88" i="19"/>
  <c r="G85" i="19"/>
  <c r="F85" i="19"/>
  <c r="F84" i="19"/>
  <c r="G84" i="19"/>
  <c r="G83" i="19"/>
  <c r="F83" i="19"/>
  <c r="F79" i="19"/>
  <c r="G79" i="19"/>
  <c r="G78" i="19"/>
  <c r="F78" i="19"/>
  <c r="F75" i="19"/>
  <c r="G75" i="19"/>
  <c r="G74" i="19"/>
  <c r="F74" i="19"/>
  <c r="G71" i="19"/>
  <c r="F71" i="19"/>
  <c r="F70" i="19"/>
  <c r="G70" i="19"/>
  <c r="G69" i="19"/>
  <c r="F69" i="19"/>
  <c r="G62" i="19"/>
  <c r="G61" i="19" s="1"/>
  <c r="G60" i="19" s="1"/>
  <c r="G59" i="19" s="1"/>
  <c r="G58" i="19" s="1"/>
  <c r="F62" i="19"/>
  <c r="F61" i="19" s="1"/>
  <c r="F60" i="19" s="1"/>
  <c r="F59" i="19" s="1"/>
  <c r="F58" i="19" s="1"/>
  <c r="F56" i="19"/>
  <c r="G56" i="19"/>
  <c r="F57" i="19"/>
  <c r="G57" i="19"/>
  <c r="G55" i="19"/>
  <c r="F55" i="19"/>
  <c r="F52" i="19"/>
  <c r="G52" i="19"/>
  <c r="G51" i="19"/>
  <c r="F51" i="19"/>
  <c r="G48" i="19"/>
  <c r="G47" i="19" s="1"/>
  <c r="F48" i="19"/>
  <c r="F47" i="19" s="1"/>
  <c r="F46" i="19"/>
  <c r="G46" i="19"/>
  <c r="G45" i="19"/>
  <c r="F45" i="19"/>
  <c r="F41" i="19"/>
  <c r="G41" i="19"/>
  <c r="G40" i="19"/>
  <c r="F40" i="19"/>
  <c r="F35" i="19"/>
  <c r="G35" i="19"/>
  <c r="G34" i="19"/>
  <c r="F34" i="19"/>
  <c r="G31" i="19"/>
  <c r="G30" i="19" s="1"/>
  <c r="G29" i="19" s="1"/>
  <c r="F31" i="19"/>
  <c r="F30" i="19" s="1"/>
  <c r="F29" i="19" s="1"/>
  <c r="F28" i="19"/>
  <c r="G28" i="19"/>
  <c r="G27" i="19"/>
  <c r="F27" i="19"/>
  <c r="F22" i="19"/>
  <c r="G22" i="19"/>
  <c r="G21" i="19"/>
  <c r="F21" i="19"/>
  <c r="G40" i="17"/>
  <c r="H148" i="17"/>
  <c r="G147" i="17"/>
  <c r="G160" i="17"/>
  <c r="H82" i="17"/>
  <c r="G82" i="17"/>
  <c r="H81" i="17"/>
  <c r="G81" i="17"/>
  <c r="H78" i="17"/>
  <c r="G78" i="17"/>
  <c r="H77" i="17"/>
  <c r="G77" i="17"/>
  <c r="H73" i="17"/>
  <c r="G73" i="17"/>
  <c r="H72" i="17"/>
  <c r="G72" i="17"/>
  <c r="H67" i="17"/>
  <c r="G67" i="17"/>
  <c r="H61" i="17"/>
  <c r="G61" i="17"/>
  <c r="H57" i="17"/>
  <c r="G57" i="17"/>
  <c r="H54" i="17"/>
  <c r="G54" i="17"/>
  <c r="H49" i="17"/>
  <c r="G49" i="17"/>
  <c r="H44" i="17"/>
  <c r="H41" i="17"/>
  <c r="G41" i="17"/>
  <c r="H40" i="17"/>
  <c r="H35" i="17"/>
  <c r="H27" i="17"/>
  <c r="G27" i="17"/>
  <c r="H169" i="17"/>
  <c r="G169" i="17"/>
  <c r="H170" i="17"/>
  <c r="G170" i="17"/>
  <c r="H174" i="17"/>
  <c r="G174" i="17"/>
  <c r="H181" i="17"/>
  <c r="H180" i="17"/>
  <c r="G180" i="17"/>
  <c r="G181" i="17"/>
  <c r="H186" i="17"/>
  <c r="H185" i="17"/>
  <c r="G185" i="17"/>
  <c r="G186" i="17"/>
  <c r="H197" i="17"/>
  <c r="G197" i="17"/>
  <c r="H200" i="17"/>
  <c r="G200" i="17"/>
  <c r="H206" i="17"/>
  <c r="G206" i="17"/>
  <c r="H207" i="17"/>
  <c r="G207" i="17"/>
  <c r="H210" i="17"/>
  <c r="G210" i="17"/>
  <c r="H212" i="17"/>
  <c r="G212" i="17"/>
  <c r="H216" i="17"/>
  <c r="H215" i="17"/>
  <c r="G215" i="17"/>
  <c r="G216" i="17"/>
  <c r="H229" i="17"/>
  <c r="G229" i="17"/>
  <c r="H237" i="17"/>
  <c r="G237" i="17"/>
  <c r="H248" i="17"/>
  <c r="G248" i="17"/>
  <c r="H253" i="17"/>
  <c r="G253" i="17"/>
  <c r="H260" i="17"/>
  <c r="G260" i="17"/>
  <c r="H268" i="17"/>
  <c r="G268" i="17"/>
  <c r="H269" i="17"/>
  <c r="G269" i="17"/>
  <c r="H274" i="17"/>
  <c r="G274" i="17"/>
  <c r="H273" i="17"/>
  <c r="G273" i="17"/>
  <c r="H277" i="17"/>
  <c r="G277" i="17"/>
  <c r="H280" i="17"/>
  <c r="G280" i="17"/>
  <c r="H281" i="17"/>
  <c r="G281" i="17"/>
  <c r="H284" i="17"/>
  <c r="G284" i="17"/>
  <c r="H285" i="17"/>
  <c r="G285" i="17"/>
  <c r="H286" i="17"/>
  <c r="G286" i="17"/>
  <c r="H290" i="17"/>
  <c r="G290" i="17"/>
  <c r="H292" i="17"/>
  <c r="G292" i="17"/>
  <c r="H352" i="17"/>
  <c r="G352" i="17"/>
  <c r="H347" i="17"/>
  <c r="G347" i="17"/>
  <c r="H343" i="17"/>
  <c r="G343" i="17"/>
  <c r="H339" i="17"/>
  <c r="G339" i="17"/>
  <c r="H335" i="17"/>
  <c r="G335" i="17"/>
  <c r="H331" i="17"/>
  <c r="G331" i="17"/>
  <c r="H327" i="17"/>
  <c r="G320" i="17"/>
  <c r="H317" i="17"/>
  <c r="H316" i="17"/>
  <c r="G317" i="17"/>
  <c r="G316" i="17"/>
  <c r="H313" i="17"/>
  <c r="H310" i="17"/>
  <c r="H309" i="17"/>
  <c r="G310" i="17"/>
  <c r="G309" i="17"/>
  <c r="H409" i="17"/>
  <c r="G409" i="17"/>
  <c r="H402" i="17"/>
  <c r="G402" i="17"/>
  <c r="H398" i="17"/>
  <c r="G398" i="17"/>
  <c r="H391" i="17"/>
  <c r="G391" i="17"/>
  <c r="H373" i="17"/>
  <c r="G373" i="17"/>
  <c r="H372" i="17"/>
  <c r="G372" i="17"/>
  <c r="H369" i="17"/>
  <c r="G369" i="17"/>
  <c r="H365" i="17"/>
  <c r="G365" i="17"/>
  <c r="H362" i="17"/>
  <c r="G362" i="17"/>
  <c r="H361" i="17"/>
  <c r="G361" i="17"/>
  <c r="H439" i="17"/>
  <c r="H434" i="17"/>
  <c r="H433" i="17"/>
  <c r="H432" i="17"/>
  <c r="H429" i="17"/>
  <c r="H428" i="17"/>
  <c r="H425" i="17"/>
  <c r="H422" i="17"/>
  <c r="H417" i="17"/>
  <c r="H416" i="17"/>
  <c r="G416" i="17"/>
  <c r="G417" i="17"/>
  <c r="H616" i="17"/>
  <c r="G616" i="17"/>
  <c r="H609" i="17"/>
  <c r="G609" i="17"/>
  <c r="H602" i="17"/>
  <c r="G602" i="17"/>
  <c r="H597" i="17"/>
  <c r="G597" i="17"/>
  <c r="H596" i="17"/>
  <c r="G596" i="17"/>
  <c r="H593" i="17"/>
  <c r="G593" i="17"/>
  <c r="H585" i="17"/>
  <c r="G585" i="17"/>
  <c r="H566" i="17"/>
  <c r="G566" i="17"/>
  <c r="H559" i="17"/>
  <c r="G559" i="17"/>
  <c r="H555" i="17"/>
  <c r="G555" i="17"/>
  <c r="H551" i="17"/>
  <c r="G551" i="17"/>
  <c r="H544" i="17"/>
  <c r="G544" i="17"/>
  <c r="H539" i="17"/>
  <c r="G539" i="17"/>
  <c r="H530" i="17"/>
  <c r="G530" i="17"/>
  <c r="H525" i="17"/>
  <c r="G525" i="17"/>
  <c r="H522" i="17"/>
  <c r="G522" i="17"/>
  <c r="H517" i="17"/>
  <c r="G517" i="17"/>
  <c r="E17" i="18" l="1"/>
  <c r="E39" i="18"/>
  <c r="E45" i="18"/>
  <c r="G560" i="19"/>
  <c r="G559" i="19" s="1"/>
  <c r="F519" i="19"/>
  <c r="F515" i="19" s="1"/>
  <c r="F514" i="19" s="1"/>
  <c r="F552" i="19"/>
  <c r="F551" i="19" s="1"/>
  <c r="F550" i="19" s="1"/>
  <c r="F556" i="19"/>
  <c r="F555" i="19" s="1"/>
  <c r="G271" i="19"/>
  <c r="G270" i="19" s="1"/>
  <c r="F385" i="19"/>
  <c r="F384" i="19" s="1"/>
  <c r="F300" i="19"/>
  <c r="F296" i="19" s="1"/>
  <c r="F295" i="19" s="1"/>
  <c r="G420" i="19"/>
  <c r="G419" i="19" s="1"/>
  <c r="G450" i="19"/>
  <c r="G449" i="19" s="1"/>
  <c r="G448" i="19" s="1"/>
  <c r="G459" i="19"/>
  <c r="G458" i="19" s="1"/>
  <c r="G556" i="19"/>
  <c r="G555" i="19" s="1"/>
  <c r="F560" i="19"/>
  <c r="F559" i="19" s="1"/>
  <c r="G588" i="19"/>
  <c r="G552" i="19"/>
  <c r="G551" i="19" s="1"/>
  <c r="G550" i="19" s="1"/>
  <c r="F528" i="19"/>
  <c r="G507" i="19"/>
  <c r="G506" i="19" s="1"/>
  <c r="G494" i="19"/>
  <c r="G493" i="19" s="1"/>
  <c r="F494" i="19"/>
  <c r="F493" i="19" s="1"/>
  <c r="G480" i="19"/>
  <c r="G479" i="19" s="1"/>
  <c r="G473" i="19" s="1"/>
  <c r="F480" i="19"/>
  <c r="F479" i="19" s="1"/>
  <c r="F473" i="19" s="1"/>
  <c r="F281" i="19"/>
  <c r="F280" i="19" s="1"/>
  <c r="G401" i="19"/>
  <c r="G400" i="19" s="1"/>
  <c r="F450" i="19"/>
  <c r="F449" i="19" s="1"/>
  <c r="F448" i="19" s="1"/>
  <c r="F113" i="19"/>
  <c r="F112" i="19" s="1"/>
  <c r="F111" i="19" s="1"/>
  <c r="G142" i="19"/>
  <c r="G141" i="19" s="1"/>
  <c r="F271" i="19"/>
  <c r="F270" i="19" s="1"/>
  <c r="F286" i="19"/>
  <c r="F285" i="19" s="1"/>
  <c r="F284" i="19" s="1"/>
  <c r="F321" i="19"/>
  <c r="F320" i="19" s="1"/>
  <c r="G455" i="19"/>
  <c r="G454" i="19" s="1"/>
  <c r="F434" i="19"/>
  <c r="G434" i="19"/>
  <c r="G418" i="19"/>
  <c r="G417" i="19" s="1"/>
  <c r="F420" i="19"/>
  <c r="F419" i="19" s="1"/>
  <c r="F418" i="19" s="1"/>
  <c r="F417" i="19" s="1"/>
  <c r="F401" i="19"/>
  <c r="F400" i="19" s="1"/>
  <c r="F142" i="19"/>
  <c r="F141" i="19" s="1"/>
  <c r="G373" i="19"/>
  <c r="G372" i="19" s="1"/>
  <c r="G371" i="19" s="1"/>
  <c r="F373" i="19"/>
  <c r="F372" i="19" s="1"/>
  <c r="F371" i="19" s="1"/>
  <c r="F378" i="19"/>
  <c r="F377" i="19" s="1"/>
  <c r="G406" i="19"/>
  <c r="G405" i="19" s="1"/>
  <c r="F406" i="19"/>
  <c r="F405" i="19" s="1"/>
  <c r="G393" i="19"/>
  <c r="F393" i="19"/>
  <c r="F389" i="19"/>
  <c r="F388" i="19" s="1"/>
  <c r="G385" i="19"/>
  <c r="G384" i="19" s="1"/>
  <c r="G378" i="19"/>
  <c r="G377" i="19" s="1"/>
  <c r="F138" i="19"/>
  <c r="F137" i="19" s="1"/>
  <c r="F298" i="19"/>
  <c r="G359" i="19"/>
  <c r="G358" i="19" s="1"/>
  <c r="G357" i="19" s="1"/>
  <c r="G356" i="19" s="1"/>
  <c r="F359" i="19"/>
  <c r="F358" i="19" s="1"/>
  <c r="F357" i="19" s="1"/>
  <c r="F356" i="19" s="1"/>
  <c r="F172" i="19"/>
  <c r="F171" i="19" s="1"/>
  <c r="G307" i="19"/>
  <c r="G306" i="19" s="1"/>
  <c r="G138" i="19"/>
  <c r="G137" i="19" s="1"/>
  <c r="F166" i="19"/>
  <c r="F165" i="19" s="1"/>
  <c r="G346" i="19"/>
  <c r="G341" i="19"/>
  <c r="G337" i="19" s="1"/>
  <c r="G336" i="19" s="1"/>
  <c r="F341" i="19"/>
  <c r="F337" i="19" s="1"/>
  <c r="F336" i="19" s="1"/>
  <c r="G327" i="19"/>
  <c r="F327" i="19"/>
  <c r="F316" i="19"/>
  <c r="F315" i="19" s="1"/>
  <c r="G316" i="19"/>
  <c r="G315" i="19" s="1"/>
  <c r="F310" i="19"/>
  <c r="G310" i="19"/>
  <c r="F307" i="19"/>
  <c r="F306" i="19" s="1"/>
  <c r="G300" i="19"/>
  <c r="G296" i="19" s="1"/>
  <c r="G295" i="19" s="1"/>
  <c r="G286" i="19"/>
  <c r="G285" i="19" s="1"/>
  <c r="G284" i="19" s="1"/>
  <c r="G252" i="19"/>
  <c r="G251" i="19" s="1"/>
  <c r="G250" i="19" s="1"/>
  <c r="F252" i="19"/>
  <c r="F251" i="19" s="1"/>
  <c r="F250" i="19" s="1"/>
  <c r="G172" i="19"/>
  <c r="G171" i="19" s="1"/>
  <c r="F241" i="19"/>
  <c r="F224" i="19"/>
  <c r="F223" i="19" s="1"/>
  <c r="F217" i="19" s="1"/>
  <c r="G224" i="19"/>
  <c r="G223" i="19" s="1"/>
  <c r="G217" i="19" s="1"/>
  <c r="F187" i="19"/>
  <c r="F186" i="19" s="1"/>
  <c r="G166" i="19"/>
  <c r="G165" i="19" s="1"/>
  <c r="F124" i="19"/>
  <c r="F123" i="19" s="1"/>
  <c r="F122" i="19" s="1"/>
  <c r="F121" i="19" s="1"/>
  <c r="F120" i="19" s="1"/>
  <c r="F119" i="19" s="1"/>
  <c r="G124" i="19"/>
  <c r="G123" i="19" s="1"/>
  <c r="G122" i="19" s="1"/>
  <c r="G121" i="19" s="1"/>
  <c r="G120" i="19" s="1"/>
  <c r="G119" i="19" s="1"/>
  <c r="G105" i="19"/>
  <c r="F54" i="19"/>
  <c r="F53" i="19" s="1"/>
  <c r="G73" i="19"/>
  <c r="G72" i="19" s="1"/>
  <c r="G113" i="19"/>
  <c r="G112" i="19" s="1"/>
  <c r="G111" i="19" s="1"/>
  <c r="F73" i="19"/>
  <c r="F72" i="19" s="1"/>
  <c r="F105" i="19"/>
  <c r="G77" i="19"/>
  <c r="G76" i="19" s="1"/>
  <c r="F26" i="19"/>
  <c r="F25" i="19" s="1"/>
  <c r="G39" i="19"/>
  <c r="G38" i="19" s="1"/>
  <c r="G37" i="19" s="1"/>
  <c r="G44" i="19"/>
  <c r="G43" i="19" s="1"/>
  <c r="G87" i="19"/>
  <c r="G86" i="19" s="1"/>
  <c r="F87" i="19"/>
  <c r="F86" i="19" s="1"/>
  <c r="G82" i="19"/>
  <c r="G81" i="19" s="1"/>
  <c r="F77" i="19"/>
  <c r="F76" i="19" s="1"/>
  <c r="F68" i="19"/>
  <c r="F67" i="19" s="1"/>
  <c r="G68" i="19"/>
  <c r="G67" i="19" s="1"/>
  <c r="F39" i="19"/>
  <c r="F38" i="19" s="1"/>
  <c r="F37" i="19" s="1"/>
  <c r="F44" i="19"/>
  <c r="F43" i="19" s="1"/>
  <c r="G26" i="19"/>
  <c r="G25" i="19" s="1"/>
  <c r="F33" i="19"/>
  <c r="F32" i="19" s="1"/>
  <c r="F24" i="19" s="1"/>
  <c r="F23" i="19" s="1"/>
  <c r="G54" i="19"/>
  <c r="G53" i="19" s="1"/>
  <c r="G50" i="19"/>
  <c r="G49" i="19" s="1"/>
  <c r="F50" i="19"/>
  <c r="F49" i="19" s="1"/>
  <c r="F20" i="19"/>
  <c r="F19" i="19" s="1"/>
  <c r="F18" i="19" s="1"/>
  <c r="F17" i="19" s="1"/>
  <c r="F16" i="19" s="1"/>
  <c r="G33" i="19"/>
  <c r="G32" i="19" s="1"/>
  <c r="G20" i="19"/>
  <c r="G19" i="19" s="1"/>
  <c r="G18" i="19" s="1"/>
  <c r="G17" i="19" s="1"/>
  <c r="G16" i="19" s="1"/>
  <c r="G151" i="19"/>
  <c r="G150" i="19" s="1"/>
  <c r="G187" i="19"/>
  <c r="G186" i="19" s="1"/>
  <c r="G528" i="19"/>
  <c r="G241" i="19"/>
  <c r="G389" i="19"/>
  <c r="G388" i="19" s="1"/>
  <c r="G427" i="19"/>
  <c r="G426" i="19" s="1"/>
  <c r="G281" i="19"/>
  <c r="G280" i="19" s="1"/>
  <c r="G298" i="19"/>
  <c r="G321" i="19"/>
  <c r="G320" i="19" s="1"/>
  <c r="G519" i="19"/>
  <c r="G515" i="19" s="1"/>
  <c r="G514" i="19" s="1"/>
  <c r="F82" i="19"/>
  <c r="F81" i="19" s="1"/>
  <c r="F151" i="19"/>
  <c r="F150" i="19" s="1"/>
  <c r="F588" i="19"/>
  <c r="F455" i="19"/>
  <c r="F454" i="19" s="1"/>
  <c r="F346" i="19"/>
  <c r="F507" i="19"/>
  <c r="F506" i="19" s="1"/>
  <c r="F427" i="19"/>
  <c r="F426" i="19" s="1"/>
  <c r="F459" i="19"/>
  <c r="F458" i="19" s="1"/>
  <c r="F164" i="19" l="1"/>
  <c r="F163" i="19" s="1"/>
  <c r="F162" i="19" s="1"/>
  <c r="F161" i="19" s="1"/>
  <c r="G269" i="19"/>
  <c r="G268" i="19" s="1"/>
  <c r="G267" i="19" s="1"/>
  <c r="G266" i="19" s="1"/>
  <c r="F549" i="19"/>
  <c r="F548" i="19" s="1"/>
  <c r="F541" i="19" s="1"/>
  <c r="G549" i="19"/>
  <c r="G548" i="19" s="1"/>
  <c r="G541" i="19" s="1"/>
  <c r="F136" i="19"/>
  <c r="F135" i="19" s="1"/>
  <c r="F134" i="19" s="1"/>
  <c r="G453" i="19"/>
  <c r="G447" i="19" s="1"/>
  <c r="G441" i="19" s="1"/>
  <c r="F269" i="19"/>
  <c r="F268" i="19" s="1"/>
  <c r="F267" i="19" s="1"/>
  <c r="F266" i="19" s="1"/>
  <c r="G492" i="19"/>
  <c r="G472" i="19" s="1"/>
  <c r="G471" i="19" s="1"/>
  <c r="G470" i="19" s="1"/>
  <c r="F319" i="19"/>
  <c r="G411" i="19"/>
  <c r="G410" i="19" s="1"/>
  <c r="G409" i="19" s="1"/>
  <c r="G399" i="19"/>
  <c r="F492" i="19"/>
  <c r="F472" i="19" s="1"/>
  <c r="F471" i="19" s="1"/>
  <c r="G319" i="19"/>
  <c r="G136" i="19"/>
  <c r="G135" i="19" s="1"/>
  <c r="G134" i="19" s="1"/>
  <c r="F411" i="19"/>
  <c r="F410" i="19" s="1"/>
  <c r="F399" i="19"/>
  <c r="F376" i="19"/>
  <c r="F370" i="19" s="1"/>
  <c r="G376" i="19"/>
  <c r="G370" i="19" s="1"/>
  <c r="F305" i="19"/>
  <c r="G305" i="19"/>
  <c r="F185" i="19"/>
  <c r="F160" i="19" s="1"/>
  <c r="G95" i="19"/>
  <c r="G164" i="19"/>
  <c r="G163" i="19" s="1"/>
  <c r="G162" i="19" s="1"/>
  <c r="G161" i="19" s="1"/>
  <c r="G66" i="19"/>
  <c r="G65" i="19" s="1"/>
  <c r="G64" i="19" s="1"/>
  <c r="G80" i="19"/>
  <c r="F95" i="19"/>
  <c r="F66" i="19"/>
  <c r="F65" i="19" s="1"/>
  <c r="F64" i="19" s="1"/>
  <c r="F80" i="19"/>
  <c r="G42" i="19"/>
  <c r="G36" i="19" s="1"/>
  <c r="F42" i="19"/>
  <c r="F36" i="19" s="1"/>
  <c r="G24" i="19"/>
  <c r="G23" i="19" s="1"/>
  <c r="G185" i="19"/>
  <c r="G178" i="19" s="1"/>
  <c r="F453" i="19"/>
  <c r="F447" i="19" s="1"/>
  <c r="F441" i="19" s="1"/>
  <c r="F470" i="19" l="1"/>
  <c r="F369" i="19"/>
  <c r="G369" i="19"/>
  <c r="F304" i="19"/>
  <c r="F303" i="19" s="1"/>
  <c r="G304" i="19"/>
  <c r="G303" i="19" s="1"/>
  <c r="F409" i="19"/>
  <c r="F178" i="19"/>
  <c r="G63" i="19"/>
  <c r="G15" i="19" s="1"/>
  <c r="F63" i="19"/>
  <c r="F15" i="19" s="1"/>
  <c r="G160" i="19"/>
  <c r="G265" i="19" l="1"/>
  <c r="F265" i="19"/>
  <c r="H503" i="17" l="1"/>
  <c r="G503" i="17"/>
  <c r="H499" i="17"/>
  <c r="G499" i="17"/>
  <c r="H493" i="17"/>
  <c r="H492" i="17" s="1"/>
  <c r="H491" i="17" s="1"/>
  <c r="H490" i="17" s="1"/>
  <c r="H489" i="17" s="1"/>
  <c r="G493" i="17"/>
  <c r="G492" i="17" s="1"/>
  <c r="G491" i="17" s="1"/>
  <c r="G490" i="17" s="1"/>
  <c r="G489" i="17" s="1"/>
  <c r="H488" i="17"/>
  <c r="H487" i="17"/>
  <c r="H486" i="17" s="1"/>
  <c r="H485" i="17" s="1"/>
  <c r="H484" i="17"/>
  <c r="H482" i="17" s="1"/>
  <c r="H481" i="17" s="1"/>
  <c r="H483" i="17"/>
  <c r="G488" i="17"/>
  <c r="G487" i="17"/>
  <c r="G486" i="17" s="1"/>
  <c r="G485" i="17" s="1"/>
  <c r="G484" i="17"/>
  <c r="G482" i="17" s="1"/>
  <c r="G481" i="17" s="1"/>
  <c r="G483" i="17"/>
  <c r="H454" i="17"/>
  <c r="H453" i="17" s="1"/>
  <c r="H452" i="17" s="1"/>
  <c r="H451" i="17" s="1"/>
  <c r="G454" i="17"/>
  <c r="H450" i="17"/>
  <c r="G450" i="17"/>
  <c r="H444" i="17"/>
  <c r="G444" i="17"/>
  <c r="G443" i="17" s="1"/>
  <c r="G442" i="17" s="1"/>
  <c r="G441" i="17" s="1"/>
  <c r="G440" i="17" s="1"/>
  <c r="G434" i="17"/>
  <c r="G433" i="17"/>
  <c r="G432" i="17"/>
  <c r="G429" i="17"/>
  <c r="G427" i="17" s="1"/>
  <c r="G426" i="17" s="1"/>
  <c r="G428" i="17"/>
  <c r="G425" i="17"/>
  <c r="G422" i="17"/>
  <c r="H638" i="17"/>
  <c r="H637" i="17"/>
  <c r="H634" i="17"/>
  <c r="H631" i="17"/>
  <c r="H630" i="17"/>
  <c r="H625" i="17"/>
  <c r="H624" i="17"/>
  <c r="H623" i="17" s="1"/>
  <c r="H622" i="17" s="1"/>
  <c r="H621" i="17" s="1"/>
  <c r="H620" i="17" s="1"/>
  <c r="H619" i="17" s="1"/>
  <c r="G638" i="17"/>
  <c r="G637" i="17"/>
  <c r="G634" i="17"/>
  <c r="G631" i="17"/>
  <c r="G630" i="17"/>
  <c r="G625" i="17"/>
  <c r="G624" i="17"/>
  <c r="H653" i="17"/>
  <c r="H652" i="17"/>
  <c r="H651" i="17" s="1"/>
  <c r="H650" i="17" s="1"/>
  <c r="H649" i="17"/>
  <c r="H648" i="17" s="1"/>
  <c r="H646" i="17"/>
  <c r="H645" i="17"/>
  <c r="G653" i="17"/>
  <c r="G651" i="17" s="1"/>
  <c r="G650" i="17" s="1"/>
  <c r="G652" i="17"/>
  <c r="G649" i="17"/>
  <c r="G648" i="17" s="1"/>
  <c r="G646" i="17"/>
  <c r="G644" i="17" s="1"/>
  <c r="G643" i="17" s="1"/>
  <c r="G645" i="17"/>
  <c r="G146" i="17"/>
  <c r="G145" i="17" s="1"/>
  <c r="G144" i="17" s="1"/>
  <c r="G151" i="17"/>
  <c r="G152" i="17"/>
  <c r="G155" i="17"/>
  <c r="G156" i="17"/>
  <c r="G154" i="17" s="1"/>
  <c r="G153" i="17" s="1"/>
  <c r="G159" i="17"/>
  <c r="G158" i="17" s="1"/>
  <c r="G157" i="17" s="1"/>
  <c r="H156" i="17"/>
  <c r="H154" i="17" s="1"/>
  <c r="H153" i="17" s="1"/>
  <c r="H155" i="17"/>
  <c r="H150" i="17"/>
  <c r="H149" i="17" s="1"/>
  <c r="H654" i="17"/>
  <c r="G654" i="17"/>
  <c r="H644" i="17"/>
  <c r="H643" i="17" s="1"/>
  <c r="H636" i="17"/>
  <c r="H635" i="17" s="1"/>
  <c r="H633" i="17"/>
  <c r="H632" i="17" s="1"/>
  <c r="H629" i="17"/>
  <c r="H628" i="17" s="1"/>
  <c r="H615" i="17"/>
  <c r="H614" i="17" s="1"/>
  <c r="H613" i="17" s="1"/>
  <c r="H612" i="17" s="1"/>
  <c r="H611" i="17" s="1"/>
  <c r="H610" i="17" s="1"/>
  <c r="H608" i="17"/>
  <c r="H607" i="17" s="1"/>
  <c r="H606" i="17" s="1"/>
  <c r="H605" i="17" s="1"/>
  <c r="H604" i="17" s="1"/>
  <c r="H603" i="17" s="1"/>
  <c r="H601" i="17"/>
  <c r="H600" i="17" s="1"/>
  <c r="H599" i="17" s="1"/>
  <c r="H598" i="17" s="1"/>
  <c r="H595" i="17"/>
  <c r="H594" i="17" s="1"/>
  <c r="H592" i="17"/>
  <c r="H591" i="17" s="1"/>
  <c r="H584" i="17"/>
  <c r="H583" i="17" s="1"/>
  <c r="H582" i="17" s="1"/>
  <c r="H581" i="17" s="1"/>
  <c r="H580" i="17" s="1"/>
  <c r="H579" i="17" s="1"/>
  <c r="H578" i="17" s="1"/>
  <c r="H575" i="17"/>
  <c r="H574" i="17" s="1"/>
  <c r="H570" i="17"/>
  <c r="H569" i="17" s="1"/>
  <c r="H565" i="17"/>
  <c r="H564" i="17" s="1"/>
  <c r="H563" i="17" s="1"/>
  <c r="H562" i="17" s="1"/>
  <c r="H561" i="17" s="1"/>
  <c r="H558" i="17"/>
  <c r="H557" i="17" s="1"/>
  <c r="H556" i="17" s="1"/>
  <c r="H554" i="17"/>
  <c r="H553" i="17" s="1"/>
  <c r="H552" i="17" s="1"/>
  <c r="H550" i="17"/>
  <c r="H549" i="17" s="1"/>
  <c r="H548" i="17" s="1"/>
  <c r="H543" i="17"/>
  <c r="H542" i="17" s="1"/>
  <c r="H541" i="17" s="1"/>
  <c r="H540" i="17" s="1"/>
  <c r="H538" i="17"/>
  <c r="H537" i="17" s="1"/>
  <c r="H536" i="17" s="1"/>
  <c r="H534" i="17"/>
  <c r="H533" i="17" s="1"/>
  <c r="H532" i="17" s="1"/>
  <c r="H529" i="17"/>
  <c r="H528" i="17" s="1"/>
  <c r="H527" i="17" s="1"/>
  <c r="H526" i="17" s="1"/>
  <c r="H524" i="17"/>
  <c r="H523" i="17" s="1"/>
  <c r="H521" i="17"/>
  <c r="H520" i="17" s="1"/>
  <c r="H516" i="17"/>
  <c r="H515" i="17" s="1"/>
  <c r="H509" i="17"/>
  <c r="H508" i="17" s="1"/>
  <c r="H507" i="17" s="1"/>
  <c r="H506" i="17" s="1"/>
  <c r="H505" i="17" s="1"/>
  <c r="H502" i="17"/>
  <c r="H501" i="17" s="1"/>
  <c r="H500" i="17" s="1"/>
  <c r="H498" i="17"/>
  <c r="H497" i="17" s="1"/>
  <c r="H496" i="17" s="1"/>
  <c r="H476" i="17"/>
  <c r="H475" i="17" s="1"/>
  <c r="H472" i="17"/>
  <c r="H471" i="17" s="1"/>
  <c r="H465" i="17"/>
  <c r="H464" i="17" s="1"/>
  <c r="H461" i="17"/>
  <c r="H460" i="17" s="1"/>
  <c r="H457" i="17"/>
  <c r="H455" i="17" s="1"/>
  <c r="H449" i="17"/>
  <c r="H448" i="17" s="1"/>
  <c r="H447" i="17" s="1"/>
  <c r="H446" i="17" s="1"/>
  <c r="H443" i="17"/>
  <c r="H442" i="17" s="1"/>
  <c r="H441" i="17" s="1"/>
  <c r="H440" i="17" s="1"/>
  <c r="H438" i="17"/>
  <c r="H437" i="17" s="1"/>
  <c r="H436" i="17" s="1"/>
  <c r="H435" i="17" s="1"/>
  <c r="H431" i="17"/>
  <c r="H430" i="17" s="1"/>
  <c r="H427" i="17"/>
  <c r="H426" i="17" s="1"/>
  <c r="H424" i="17"/>
  <c r="H423" i="17" s="1"/>
  <c r="H420" i="17"/>
  <c r="H419" i="17" s="1"/>
  <c r="H415" i="17"/>
  <c r="H414" i="17" s="1"/>
  <c r="H413" i="17" s="1"/>
  <c r="H408" i="17"/>
  <c r="H407" i="17" s="1"/>
  <c r="H406" i="17" s="1"/>
  <c r="H405" i="17" s="1"/>
  <c r="H404" i="17" s="1"/>
  <c r="H403" i="17" s="1"/>
  <c r="H401" i="17"/>
  <c r="H400" i="17" s="1"/>
  <c r="H399" i="17" s="1"/>
  <c r="H397" i="17"/>
  <c r="H396" i="17" s="1"/>
  <c r="H395" i="17" s="1"/>
  <c r="H394" i="17" s="1"/>
  <c r="H393" i="17" s="1"/>
  <c r="H390" i="17"/>
  <c r="H389" i="17" s="1"/>
  <c r="H388" i="17" s="1"/>
  <c r="H387" i="17" s="1"/>
  <c r="H386" i="17" s="1"/>
  <c r="H385" i="17" s="1"/>
  <c r="H383" i="17"/>
  <c r="H382" i="17" s="1"/>
  <c r="H381" i="17" s="1"/>
  <c r="H380" i="17" s="1"/>
  <c r="H379" i="17" s="1"/>
  <c r="H377" i="17"/>
  <c r="H376" i="17" s="1"/>
  <c r="H375" i="17" s="1"/>
  <c r="H374" i="17" s="1"/>
  <c r="H371" i="17"/>
  <c r="H370" i="17" s="1"/>
  <c r="H367" i="17"/>
  <c r="H366" i="17" s="1"/>
  <c r="H364" i="17"/>
  <c r="H363" i="17" s="1"/>
  <c r="H360" i="17"/>
  <c r="H359" i="17" s="1"/>
  <c r="H351" i="17"/>
  <c r="H350" i="17" s="1"/>
  <c r="H349" i="17" s="1"/>
  <c r="H348" i="17" s="1"/>
  <c r="E33" i="18" s="1"/>
  <c r="H346" i="17"/>
  <c r="H345" i="17" s="1"/>
  <c r="H344" i="17" s="1"/>
  <c r="E32" i="18" s="1"/>
  <c r="H342" i="17"/>
  <c r="H341" i="17" s="1"/>
  <c r="H340" i="17" s="1"/>
  <c r="H338" i="17"/>
  <c r="H337" i="17" s="1"/>
  <c r="H336" i="17" s="1"/>
  <c r="H334" i="17"/>
  <c r="H333" i="17" s="1"/>
  <c r="H332" i="17" s="1"/>
  <c r="H330" i="17"/>
  <c r="H329" i="17" s="1"/>
  <c r="H328" i="17" s="1"/>
  <c r="H326" i="17"/>
  <c r="H325" i="17" s="1"/>
  <c r="H324" i="17" s="1"/>
  <c r="H319" i="17"/>
  <c r="H318" i="17" s="1"/>
  <c r="H315" i="17"/>
  <c r="H314" i="17" s="1"/>
  <c r="H312" i="17"/>
  <c r="H311" i="17" s="1"/>
  <c r="H308" i="17"/>
  <c r="H307" i="17" s="1"/>
  <c r="H299" i="17"/>
  <c r="H298" i="17" s="1"/>
  <c r="H291" i="17"/>
  <c r="H289" i="17"/>
  <c r="H288" i="17" s="1"/>
  <c r="H283" i="17"/>
  <c r="H282" i="17" s="1"/>
  <c r="H279" i="17"/>
  <c r="H278" i="17" s="1"/>
  <c r="H276" i="17"/>
  <c r="H275" i="17" s="1"/>
  <c r="H272" i="17"/>
  <c r="H271" i="17" s="1"/>
  <c r="H267" i="17"/>
  <c r="H266" i="17" s="1"/>
  <c r="H265" i="17" s="1"/>
  <c r="H261" i="17"/>
  <c r="H259" i="17"/>
  <c r="H252" i="17"/>
  <c r="H251" i="17" s="1"/>
  <c r="H250" i="17" s="1"/>
  <c r="H249" i="17" s="1"/>
  <c r="H247" i="17"/>
  <c r="H246" i="17" s="1"/>
  <c r="H245" i="17" s="1"/>
  <c r="H242" i="17"/>
  <c r="H241" i="17" s="1"/>
  <c r="H240" i="17" s="1"/>
  <c r="H238" i="17"/>
  <c r="H236" i="17"/>
  <c r="H233" i="17"/>
  <c r="H232" i="17" s="1"/>
  <c r="H228" i="17"/>
  <c r="H226" i="17"/>
  <c r="H223" i="17"/>
  <c r="H222" i="17" s="1"/>
  <c r="H219" i="17"/>
  <c r="H218" i="17" s="1"/>
  <c r="H214" i="17"/>
  <c r="H213" i="17" s="1"/>
  <c r="H211" i="17"/>
  <c r="H209" i="17"/>
  <c r="H205" i="17"/>
  <c r="H204" i="17" s="1"/>
  <c r="H199" i="17"/>
  <c r="H198" i="17" s="1"/>
  <c r="H196" i="17"/>
  <c r="H195" i="17"/>
  <c r="H191" i="17"/>
  <c r="H190" i="17" s="1"/>
  <c r="H188" i="17"/>
  <c r="H187" i="17" s="1"/>
  <c r="H184" i="17"/>
  <c r="H183" i="17" s="1"/>
  <c r="H179" i="17"/>
  <c r="H178" i="17" s="1"/>
  <c r="H176" i="17"/>
  <c r="H175" i="17" s="1"/>
  <c r="H172" i="17"/>
  <c r="H171" i="17" s="1"/>
  <c r="H168" i="17"/>
  <c r="H167" i="17" s="1"/>
  <c r="H159" i="17"/>
  <c r="H158" i="17" s="1"/>
  <c r="H157" i="17" s="1"/>
  <c r="H140" i="17"/>
  <c r="H139" i="17" s="1"/>
  <c r="H132" i="17"/>
  <c r="H131" i="17"/>
  <c r="H130" i="17" s="1"/>
  <c r="H129" i="17" s="1"/>
  <c r="H128" i="17" s="1"/>
  <c r="H126" i="17"/>
  <c r="H125" i="17"/>
  <c r="H123" i="17"/>
  <c r="H122" i="17" s="1"/>
  <c r="H118" i="17"/>
  <c r="H117" i="17" s="1"/>
  <c r="H116" i="17" s="1"/>
  <c r="H115" i="17" s="1"/>
  <c r="H113" i="17"/>
  <c r="H112" i="17" s="1"/>
  <c r="H110" i="17"/>
  <c r="H109" i="17" s="1"/>
  <c r="H104" i="17"/>
  <c r="H103" i="17" s="1"/>
  <c r="H99" i="17"/>
  <c r="H98" i="17" s="1"/>
  <c r="H96" i="17"/>
  <c r="H95" i="17" s="1"/>
  <c r="H91" i="17"/>
  <c r="H90" i="17"/>
  <c r="H89" i="17" s="1"/>
  <c r="H88" i="17" s="1"/>
  <c r="H80" i="17"/>
  <c r="H79" i="17" s="1"/>
  <c r="H76" i="17"/>
  <c r="H75" i="17" s="1"/>
  <c r="H71" i="17"/>
  <c r="H70" i="17" s="1"/>
  <c r="H69" i="17" s="1"/>
  <c r="H66" i="17"/>
  <c r="H65" i="17" s="1"/>
  <c r="H64" i="17" s="1"/>
  <c r="H63" i="17" s="1"/>
  <c r="H60" i="17"/>
  <c r="H59" i="17" s="1"/>
  <c r="H58" i="17" s="1"/>
  <c r="H56" i="17"/>
  <c r="H55" i="17" s="1"/>
  <c r="H53" i="17"/>
  <c r="H52" i="17" s="1"/>
  <c r="H48" i="17"/>
  <c r="H47" i="17" s="1"/>
  <c r="H46" i="17" s="1"/>
  <c r="H43" i="17"/>
  <c r="H42" i="17" s="1"/>
  <c r="H39" i="17"/>
  <c r="H38" i="17" s="1"/>
  <c r="H34" i="17"/>
  <c r="H33" i="17" s="1"/>
  <c r="H32" i="17" s="1"/>
  <c r="H31" i="17" s="1"/>
  <c r="E25" i="18" s="1"/>
  <c r="E24" i="18" s="1"/>
  <c r="H26" i="17"/>
  <c r="H25" i="17"/>
  <c r="H24" i="17" s="1"/>
  <c r="H23" i="17" s="1"/>
  <c r="H21" i="17"/>
  <c r="H20" i="17" s="1"/>
  <c r="H19" i="17" s="1"/>
  <c r="H18" i="17" s="1"/>
  <c r="G636" i="17"/>
  <c r="G635" i="17" s="1"/>
  <c r="G633" i="17"/>
  <c r="G632" i="17" s="1"/>
  <c r="G629" i="17"/>
  <c r="G628" i="17" s="1"/>
  <c r="G623" i="17"/>
  <c r="G622" i="17" s="1"/>
  <c r="G621" i="17" s="1"/>
  <c r="G620" i="17" s="1"/>
  <c r="G619" i="17" s="1"/>
  <c r="G615" i="17"/>
  <c r="G614" i="17" s="1"/>
  <c r="G613" i="17" s="1"/>
  <c r="G612" i="17" s="1"/>
  <c r="G611" i="17" s="1"/>
  <c r="G610" i="17" s="1"/>
  <c r="G608" i="17"/>
  <c r="G607" i="17" s="1"/>
  <c r="G606" i="17" s="1"/>
  <c r="G605" i="17" s="1"/>
  <c r="G604" i="17" s="1"/>
  <c r="G603" i="17" s="1"/>
  <c r="G601" i="17"/>
  <c r="G600" i="17" s="1"/>
  <c r="G599" i="17" s="1"/>
  <c r="G598" i="17" s="1"/>
  <c r="G595" i="17"/>
  <c r="G594" i="17" s="1"/>
  <c r="G592" i="17"/>
  <c r="G591" i="17" s="1"/>
  <c r="G584" i="17"/>
  <c r="G583" i="17" s="1"/>
  <c r="G582" i="17" s="1"/>
  <c r="G581" i="17" s="1"/>
  <c r="G580" i="17" s="1"/>
  <c r="G579" i="17" s="1"/>
  <c r="G578" i="17" s="1"/>
  <c r="G575" i="17"/>
  <c r="G574" i="17" s="1"/>
  <c r="G570" i="17"/>
  <c r="G569" i="17" s="1"/>
  <c r="G565" i="17"/>
  <c r="G564" i="17" s="1"/>
  <c r="G563" i="17" s="1"/>
  <c r="G562" i="17" s="1"/>
  <c r="G561" i="17" s="1"/>
  <c r="G558" i="17"/>
  <c r="G557" i="17" s="1"/>
  <c r="G556" i="17" s="1"/>
  <c r="G554" i="17"/>
  <c r="G553" i="17" s="1"/>
  <c r="G552" i="17" s="1"/>
  <c r="G550" i="17"/>
  <c r="G549" i="17" s="1"/>
  <c r="G548" i="17" s="1"/>
  <c r="G543" i="17"/>
  <c r="G542" i="17" s="1"/>
  <c r="G541" i="17" s="1"/>
  <c r="G540" i="17" s="1"/>
  <c r="G538" i="17"/>
  <c r="G537" i="17" s="1"/>
  <c r="G536" i="17" s="1"/>
  <c r="G534" i="17"/>
  <c r="G533" i="17" s="1"/>
  <c r="G532" i="17" s="1"/>
  <c r="G529" i="17"/>
  <c r="G528" i="17" s="1"/>
  <c r="G527" i="17" s="1"/>
  <c r="G526" i="17" s="1"/>
  <c r="G524" i="17"/>
  <c r="G523" i="17" s="1"/>
  <c r="G521" i="17"/>
  <c r="G520" i="17" s="1"/>
  <c r="G516" i="17"/>
  <c r="G515" i="17" s="1"/>
  <c r="G514" i="17" s="1"/>
  <c r="G513" i="17" s="1"/>
  <c r="G509" i="17"/>
  <c r="G508" i="17" s="1"/>
  <c r="G507" i="17" s="1"/>
  <c r="G506" i="17" s="1"/>
  <c r="G505" i="17" s="1"/>
  <c r="G502" i="17"/>
  <c r="G501" i="17" s="1"/>
  <c r="G500" i="17" s="1"/>
  <c r="G498" i="17"/>
  <c r="G497" i="17" s="1"/>
  <c r="G496" i="17" s="1"/>
  <c r="G476" i="17"/>
  <c r="G475" i="17" s="1"/>
  <c r="G472" i="17"/>
  <c r="G471" i="17" s="1"/>
  <c r="G465" i="17"/>
  <c r="G464" i="17" s="1"/>
  <c r="G461" i="17"/>
  <c r="G460" i="17" s="1"/>
  <c r="G457" i="17"/>
  <c r="G455" i="17" s="1"/>
  <c r="G453" i="17"/>
  <c r="G452" i="17" s="1"/>
  <c r="G451" i="17" s="1"/>
  <c r="G449" i="17"/>
  <c r="G448" i="17" s="1"/>
  <c r="G447" i="17" s="1"/>
  <c r="G446" i="17" s="1"/>
  <c r="G438" i="17"/>
  <c r="G437" i="17" s="1"/>
  <c r="G436" i="17" s="1"/>
  <c r="G435" i="17" s="1"/>
  <c r="G424" i="17"/>
  <c r="G423" i="17" s="1"/>
  <c r="G420" i="17"/>
  <c r="G419" i="17" s="1"/>
  <c r="G415" i="17"/>
  <c r="G414" i="17" s="1"/>
  <c r="G413" i="17" s="1"/>
  <c r="G408" i="17"/>
  <c r="G407" i="17" s="1"/>
  <c r="G406" i="17" s="1"/>
  <c r="G405" i="17" s="1"/>
  <c r="G404" i="17" s="1"/>
  <c r="G403" i="17" s="1"/>
  <c r="G401" i="17"/>
  <c r="G400" i="17" s="1"/>
  <c r="G399" i="17" s="1"/>
  <c r="G397" i="17"/>
  <c r="G396" i="17" s="1"/>
  <c r="G395" i="17" s="1"/>
  <c r="G394" i="17" s="1"/>
  <c r="G393" i="17" s="1"/>
  <c r="G390" i="17"/>
  <c r="G389" i="17" s="1"/>
  <c r="G388" i="17" s="1"/>
  <c r="G387" i="17" s="1"/>
  <c r="G386" i="17" s="1"/>
  <c r="G385" i="17" s="1"/>
  <c r="G383" i="17"/>
  <c r="G382" i="17" s="1"/>
  <c r="G381" i="17" s="1"/>
  <c r="G380" i="17" s="1"/>
  <c r="G379" i="17" s="1"/>
  <c r="G377" i="17"/>
  <c r="G376" i="17" s="1"/>
  <c r="G375" i="17" s="1"/>
  <c r="G374" i="17" s="1"/>
  <c r="G371" i="17"/>
  <c r="G370" i="17" s="1"/>
  <c r="G367" i="17"/>
  <c r="G366" i="17" s="1"/>
  <c r="G364" i="17"/>
  <c r="G363" i="17" s="1"/>
  <c r="G360" i="17"/>
  <c r="G359" i="17" s="1"/>
  <c r="G351" i="17"/>
  <c r="G350" i="17" s="1"/>
  <c r="G349" i="17" s="1"/>
  <c r="G348" i="17" s="1"/>
  <c r="D33" i="18" s="1"/>
  <c r="G346" i="17"/>
  <c r="G345" i="17" s="1"/>
  <c r="G344" i="17" s="1"/>
  <c r="D32" i="18" s="1"/>
  <c r="G342" i="17"/>
  <c r="G341" i="17" s="1"/>
  <c r="G340" i="17" s="1"/>
  <c r="G338" i="17"/>
  <c r="G337" i="17" s="1"/>
  <c r="G336" i="17" s="1"/>
  <c r="G334" i="17"/>
  <c r="G333" i="17" s="1"/>
  <c r="G332" i="17" s="1"/>
  <c r="G330" i="17"/>
  <c r="G329" i="17" s="1"/>
  <c r="G328" i="17" s="1"/>
  <c r="G326" i="17"/>
  <c r="G325" i="17" s="1"/>
  <c r="G324" i="17" s="1"/>
  <c r="G319" i="17"/>
  <c r="G318" i="17" s="1"/>
  <c r="G315" i="17"/>
  <c r="G314" i="17" s="1"/>
  <c r="G312" i="17"/>
  <c r="G311" i="17" s="1"/>
  <c r="G308" i="17"/>
  <c r="G307" i="17" s="1"/>
  <c r="G299" i="17"/>
  <c r="G298" i="17" s="1"/>
  <c r="G296" i="17" s="1"/>
  <c r="G295" i="17" s="1"/>
  <c r="G294" i="17" s="1"/>
  <c r="G293" i="17" s="1"/>
  <c r="G291" i="17"/>
  <c r="G289" i="17"/>
  <c r="G288" i="17" s="1"/>
  <c r="G283" i="17"/>
  <c r="G282" i="17" s="1"/>
  <c r="G279" i="17"/>
  <c r="G278" i="17" s="1"/>
  <c r="G276" i="17"/>
  <c r="G275" i="17" s="1"/>
  <c r="G272" i="17"/>
  <c r="G271" i="17" s="1"/>
  <c r="G267" i="17"/>
  <c r="G266" i="17" s="1"/>
  <c r="G265" i="17" s="1"/>
  <c r="G261" i="17"/>
  <c r="G259" i="17"/>
  <c r="G252" i="17"/>
  <c r="G251" i="17" s="1"/>
  <c r="G250" i="17" s="1"/>
  <c r="G249" i="17" s="1"/>
  <c r="G247" i="17"/>
  <c r="G246" i="17" s="1"/>
  <c r="G245" i="17" s="1"/>
  <c r="G242" i="17"/>
  <c r="G241" i="17" s="1"/>
  <c r="G240" i="17" s="1"/>
  <c r="G238" i="17"/>
  <c r="G236" i="17"/>
  <c r="G233" i="17"/>
  <c r="G232" i="17" s="1"/>
  <c r="G228" i="17"/>
  <c r="G226" i="17"/>
  <c r="G223" i="17"/>
  <c r="G222" i="17" s="1"/>
  <c r="G219" i="17"/>
  <c r="G218" i="17" s="1"/>
  <c r="G214" i="17"/>
  <c r="G213" i="17" s="1"/>
  <c r="G211" i="17"/>
  <c r="G209" i="17"/>
  <c r="G205" i="17"/>
  <c r="G204" i="17" s="1"/>
  <c r="G199" i="17"/>
  <c r="G198" i="17" s="1"/>
  <c r="G196" i="17"/>
  <c r="G195" i="17"/>
  <c r="G191" i="17"/>
  <c r="G190" i="17" s="1"/>
  <c r="G188" i="17"/>
  <c r="G187" i="17" s="1"/>
  <c r="G184" i="17"/>
  <c r="G183" i="17" s="1"/>
  <c r="G179" i="17"/>
  <c r="G178" i="17" s="1"/>
  <c r="G176" i="17"/>
  <c r="G175" i="17" s="1"/>
  <c r="G172" i="17"/>
  <c r="G171" i="17" s="1"/>
  <c r="G168" i="17"/>
  <c r="G167" i="17" s="1"/>
  <c r="G140" i="17"/>
  <c r="G139" i="17" s="1"/>
  <c r="G138" i="17" s="1"/>
  <c r="G137" i="17" s="1"/>
  <c r="G136" i="17" s="1"/>
  <c r="G135" i="17" s="1"/>
  <c r="G132" i="17"/>
  <c r="G131" i="17"/>
  <c r="G130" i="17" s="1"/>
  <c r="G129" i="17" s="1"/>
  <c r="G128" i="17" s="1"/>
  <c r="G126" i="17"/>
  <c r="G125" i="17"/>
  <c r="G123" i="17"/>
  <c r="G122" i="17" s="1"/>
  <c r="G118" i="17"/>
  <c r="G117" i="17" s="1"/>
  <c r="G116" i="17" s="1"/>
  <c r="G115" i="17" s="1"/>
  <c r="G113" i="17"/>
  <c r="G112" i="17" s="1"/>
  <c r="G110" i="17"/>
  <c r="G109" i="17" s="1"/>
  <c r="G104" i="17"/>
  <c r="G103" i="17" s="1"/>
  <c r="G101" i="17" s="1"/>
  <c r="G99" i="17"/>
  <c r="G98" i="17" s="1"/>
  <c r="G96" i="17"/>
  <c r="G95" i="17" s="1"/>
  <c r="G91" i="17"/>
  <c r="G90" i="17"/>
  <c r="G89" i="17" s="1"/>
  <c r="G88" i="17" s="1"/>
  <c r="G80" i="17"/>
  <c r="G79" i="17" s="1"/>
  <c r="G76" i="17"/>
  <c r="G75" i="17" s="1"/>
  <c r="G71" i="17"/>
  <c r="G70" i="17" s="1"/>
  <c r="G69" i="17" s="1"/>
  <c r="G66" i="17"/>
  <c r="G65" i="17" s="1"/>
  <c r="G64" i="17" s="1"/>
  <c r="G63" i="17" s="1"/>
  <c r="G60" i="17"/>
  <c r="G59" i="17" s="1"/>
  <c r="G58" i="17" s="1"/>
  <c r="G56" i="17"/>
  <c r="G55" i="17" s="1"/>
  <c r="G53" i="17"/>
  <c r="G52" i="17" s="1"/>
  <c r="G48" i="17"/>
  <c r="G47" i="17" s="1"/>
  <c r="G46" i="17" s="1"/>
  <c r="G43" i="17"/>
  <c r="G42" i="17" s="1"/>
  <c r="G39" i="17"/>
  <c r="G38" i="17" s="1"/>
  <c r="G34" i="17"/>
  <c r="G33" i="17" s="1"/>
  <c r="G32" i="17" s="1"/>
  <c r="G31" i="17" s="1"/>
  <c r="D25" i="18" s="1"/>
  <c r="G26" i="17"/>
  <c r="G25" i="17"/>
  <c r="G24" i="17" s="1"/>
  <c r="G23" i="17" s="1"/>
  <c r="G21" i="17"/>
  <c r="G20" i="17" s="1"/>
  <c r="G19" i="17" s="1"/>
  <c r="G18" i="17" s="1"/>
  <c r="G655" i="17" l="1"/>
  <c r="G657" i="17" s="1"/>
  <c r="F606" i="19"/>
  <c r="F14" i="19" s="1"/>
  <c r="H15" i="19" s="1"/>
  <c r="G14" i="17"/>
  <c r="I15" i="17" s="1"/>
  <c r="H655" i="17"/>
  <c r="H657" i="17" s="1"/>
  <c r="G606" i="19"/>
  <c r="G14" i="19" s="1"/>
  <c r="I15" i="19" s="1"/>
  <c r="H14" i="17"/>
  <c r="J15" i="17" s="1"/>
  <c r="H590" i="17"/>
  <c r="H589" i="17" s="1"/>
  <c r="H588" i="17" s="1"/>
  <c r="H587" i="17" s="1"/>
  <c r="H586" i="17" s="1"/>
  <c r="G431" i="17"/>
  <c r="G430" i="17" s="1"/>
  <c r="G418" i="17" s="1"/>
  <c r="G412" i="17" s="1"/>
  <c r="G235" i="17"/>
  <c r="G231" i="17" s="1"/>
  <c r="G230" i="17" s="1"/>
  <c r="H194" i="17"/>
  <c r="H193" i="17" s="1"/>
  <c r="H459" i="17"/>
  <c r="H445" i="17" s="1"/>
  <c r="G297" i="17"/>
  <c r="G480" i="17"/>
  <c r="G479" i="17" s="1"/>
  <c r="G647" i="17"/>
  <c r="G642" i="17" s="1"/>
  <c r="G641" i="17" s="1"/>
  <c r="G640" i="17" s="1"/>
  <c r="G639" i="17" s="1"/>
  <c r="H568" i="17"/>
  <c r="H567" i="17" s="1"/>
  <c r="H560" i="17" s="1"/>
  <c r="G74" i="17"/>
  <c r="G68" i="17" s="1"/>
  <c r="G62" i="17" s="1"/>
  <c r="G270" i="17"/>
  <c r="G287" i="17"/>
  <c r="H37" i="17"/>
  <c r="H36" i="17" s="1"/>
  <c r="H392" i="17"/>
  <c r="G150" i="17"/>
  <c r="G149" i="17" s="1"/>
  <c r="G143" i="17" s="1"/>
  <c r="G142" i="17" s="1"/>
  <c r="H146" i="17"/>
  <c r="H145" i="17" s="1"/>
  <c r="H144" i="17" s="1"/>
  <c r="H143" i="17" s="1"/>
  <c r="H142" i="17" s="1"/>
  <c r="E38" i="18" s="1"/>
  <c r="H138" i="17"/>
  <c r="H137" i="17" s="1"/>
  <c r="H136" i="17" s="1"/>
  <c r="H135" i="17" s="1"/>
  <c r="H235" i="17"/>
  <c r="H231" i="17" s="1"/>
  <c r="H230" i="17" s="1"/>
  <c r="G45" i="17"/>
  <c r="G358" i="17"/>
  <c r="G357" i="17" s="1"/>
  <c r="G356" i="17" s="1"/>
  <c r="G355" i="17" s="1"/>
  <c r="G354" i="17" s="1"/>
  <c r="G102" i="17"/>
  <c r="G182" i="17"/>
  <c r="G258" i="17"/>
  <c r="G256" i="17" s="1"/>
  <c r="G255" i="17" s="1"/>
  <c r="G254" i="17" s="1"/>
  <c r="G590" i="17"/>
  <c r="G589" i="17" s="1"/>
  <c r="G588" i="17" s="1"/>
  <c r="G587" i="17" s="1"/>
  <c r="G586" i="17" s="1"/>
  <c r="H51" i="17"/>
  <c r="H50" i="17" s="1"/>
  <c r="H306" i="17"/>
  <c r="H305" i="17" s="1"/>
  <c r="H470" i="17"/>
  <c r="H469" i="17" s="1"/>
  <c r="H468" i="17" s="1"/>
  <c r="H467" i="17" s="1"/>
  <c r="H647" i="17"/>
  <c r="H642" i="17" s="1"/>
  <c r="H641" i="17" s="1"/>
  <c r="H640" i="17" s="1"/>
  <c r="H639" i="17" s="1"/>
  <c r="G37" i="17"/>
  <c r="G36" i="17" s="1"/>
  <c r="H258" i="17"/>
  <c r="H257" i="17" s="1"/>
  <c r="H627" i="17"/>
  <c r="H626" i="17" s="1"/>
  <c r="H618" i="17" s="1"/>
  <c r="H617" i="17" s="1"/>
  <c r="G94" i="17"/>
  <c r="G93" i="17" s="1"/>
  <c r="G87" i="17" s="1"/>
  <c r="D36" i="18" s="1"/>
  <c r="G456" i="17"/>
  <c r="H456" i="17"/>
  <c r="G166" i="17"/>
  <c r="G392" i="17"/>
  <c r="G323" i="17"/>
  <c r="G627" i="17"/>
  <c r="G626" i="17" s="1"/>
  <c r="G618" i="17" s="1"/>
  <c r="G617" i="17" s="1"/>
  <c r="H514" i="17"/>
  <c r="H513" i="17" s="1"/>
  <c r="G17" i="17"/>
  <c r="G16" i="17" s="1"/>
  <c r="G108" i="17"/>
  <c r="G107" i="17" s="1"/>
  <c r="G459" i="17"/>
  <c r="G445" i="17" s="1"/>
  <c r="G519" i="17"/>
  <c r="G518" i="17" s="1"/>
  <c r="G512" i="17" s="1"/>
  <c r="H94" i="17"/>
  <c r="H93" i="17" s="1"/>
  <c r="H121" i="17"/>
  <c r="H120" i="17" s="1"/>
  <c r="G495" i="17"/>
  <c r="G494" i="17" s="1"/>
  <c r="G531" i="17"/>
  <c r="H102" i="17"/>
  <c r="H101" i="17"/>
  <c r="H244" i="17"/>
  <c r="H480" i="17"/>
  <c r="H479" i="17" s="1"/>
  <c r="H74" i="17"/>
  <c r="H182" i="17"/>
  <c r="H287" i="17"/>
  <c r="H418" i="17"/>
  <c r="H412" i="17" s="1"/>
  <c r="H519" i="17"/>
  <c r="H518" i="17" s="1"/>
  <c r="H512" i="17" s="1"/>
  <c r="G51" i="17"/>
  <c r="G50" i="17" s="1"/>
  <c r="G121" i="17"/>
  <c r="G120" i="17" s="1"/>
  <c r="G208" i="17"/>
  <c r="G203" i="17" s="1"/>
  <c r="G225" i="17"/>
  <c r="G217" i="17" s="1"/>
  <c r="G306" i="17"/>
  <c r="G305" i="17" s="1"/>
  <c r="G470" i="17"/>
  <c r="G469" i="17" s="1"/>
  <c r="G468" i="17" s="1"/>
  <c r="G467" i="17" s="1"/>
  <c r="G568" i="17"/>
  <c r="G567" i="17" s="1"/>
  <c r="G560" i="17" s="1"/>
  <c r="H68" i="17"/>
  <c r="H62" i="17" s="1"/>
  <c r="H225" i="17"/>
  <c r="H217" i="17" s="1"/>
  <c r="H531" i="17"/>
  <c r="H547" i="17"/>
  <c r="H546" i="17" s="1"/>
  <c r="H545" i="17" s="1"/>
  <c r="H270" i="17"/>
  <c r="H495" i="17"/>
  <c r="H494" i="17" s="1"/>
  <c r="H17" i="17"/>
  <c r="H16" i="17" s="1"/>
  <c r="H296" i="17"/>
  <c r="H295" i="17" s="1"/>
  <c r="H294" i="17" s="1"/>
  <c r="H293" i="17" s="1"/>
  <c r="H297" i="17"/>
  <c r="H358" i="17"/>
  <c r="H357" i="17" s="1"/>
  <c r="H356" i="17" s="1"/>
  <c r="H355" i="17" s="1"/>
  <c r="H354" i="17" s="1"/>
  <c r="H45" i="17"/>
  <c r="H323" i="17"/>
  <c r="H108" i="17"/>
  <c r="H107" i="17" s="1"/>
  <c r="H166" i="17"/>
  <c r="H208" i="17"/>
  <c r="H203" i="17" s="1"/>
  <c r="G244" i="17"/>
  <c r="G547" i="17"/>
  <c r="G546" i="17" s="1"/>
  <c r="G545" i="17" s="1"/>
  <c r="G194" i="17"/>
  <c r="G193" i="17" s="1"/>
  <c r="H322" i="17" l="1"/>
  <c r="H321" i="17" s="1"/>
  <c r="E31" i="18"/>
  <c r="H304" i="17"/>
  <c r="H303" i="17" s="1"/>
  <c r="E34" i="18"/>
  <c r="G304" i="17"/>
  <c r="G303" i="17" s="1"/>
  <c r="D34" i="18"/>
  <c r="G322" i="17"/>
  <c r="G321" i="17" s="1"/>
  <c r="D31" i="18"/>
  <c r="G134" i="17"/>
  <c r="D38" i="18"/>
  <c r="G257" i="17"/>
  <c r="G264" i="17"/>
  <c r="G263" i="17" s="1"/>
  <c r="H256" i="17"/>
  <c r="H255" i="17" s="1"/>
  <c r="H254" i="17" s="1"/>
  <c r="H30" i="17"/>
  <c r="H29" i="17" s="1"/>
  <c r="H28" i="17" s="1"/>
  <c r="H15" i="17" s="1"/>
  <c r="H411" i="17"/>
  <c r="H353" i="17"/>
  <c r="G353" i="17"/>
  <c r="H511" i="17"/>
  <c r="H504" i="17" s="1"/>
  <c r="G165" i="17"/>
  <c r="G164" i="17" s="1"/>
  <c r="G163" i="17" s="1"/>
  <c r="H134" i="17"/>
  <c r="H165" i="17"/>
  <c r="H164" i="17" s="1"/>
  <c r="H163" i="17" s="1"/>
  <c r="G511" i="17"/>
  <c r="G504" i="17" s="1"/>
  <c r="G478" i="17"/>
  <c r="H264" i="17"/>
  <c r="H263" i="17" s="1"/>
  <c r="H478" i="17"/>
  <c r="G411" i="17"/>
  <c r="G30" i="17"/>
  <c r="G29" i="17" s="1"/>
  <c r="G28" i="17" s="1"/>
  <c r="G15" i="17" s="1"/>
  <c r="H87" i="17"/>
  <c r="E36" i="18" s="1"/>
  <c r="G106" i="17"/>
  <c r="H106" i="17"/>
  <c r="E37" i="18" s="1"/>
  <c r="G202" i="17"/>
  <c r="G201" i="17" s="1"/>
  <c r="H202" i="17"/>
  <c r="H201" i="17" s="1"/>
  <c r="D45" i="18"/>
  <c r="D39" i="18"/>
  <c r="D24" i="18"/>
  <c r="D17" i="18"/>
  <c r="D30" i="18" l="1"/>
  <c r="E35" i="18"/>
  <c r="G302" i="17"/>
  <c r="G301" i="17" s="1"/>
  <c r="H302" i="17"/>
  <c r="H301" i="17" s="1"/>
  <c r="E30" i="18"/>
  <c r="G86" i="17"/>
  <c r="G85" i="17" s="1"/>
  <c r="G84" i="17" s="1"/>
  <c r="G83" i="17" s="1"/>
  <c r="D37" i="18"/>
  <c r="D35" i="18" s="1"/>
  <c r="G410" i="17"/>
  <c r="H410" i="17"/>
  <c r="H162" i="17"/>
  <c r="H161" i="17" s="1"/>
  <c r="H86" i="17"/>
  <c r="H85" i="17" s="1"/>
  <c r="H84" i="17" s="1"/>
  <c r="H83" i="17" s="1"/>
  <c r="G162" i="17"/>
  <c r="G161" i="17" s="1"/>
  <c r="F16" i="4"/>
  <c r="E16" i="18" l="1"/>
  <c r="D16" i="18"/>
  <c r="F34" i="16"/>
  <c r="F35" i="16"/>
  <c r="F149" i="16"/>
  <c r="F148" i="16" s="1"/>
  <c r="F147" i="16" s="1"/>
  <c r="F146" i="16" s="1"/>
  <c r="F145" i="16" s="1"/>
  <c r="G493" i="3"/>
  <c r="G492" i="3" s="1"/>
  <c r="G491" i="3" s="1"/>
  <c r="G490" i="3" s="1"/>
  <c r="G489" i="3" s="1"/>
  <c r="G369" i="3"/>
  <c r="G429" i="3"/>
  <c r="G544" i="3"/>
  <c r="F33" i="16" l="1"/>
  <c r="F32" i="16" s="1"/>
  <c r="F21" i="16"/>
  <c r="F22" i="16"/>
  <c r="F27" i="16"/>
  <c r="F28" i="16"/>
  <c r="F31" i="16"/>
  <c r="F40" i="16"/>
  <c r="F41" i="16"/>
  <c r="F45" i="16"/>
  <c r="F46" i="16"/>
  <c r="F48" i="16"/>
  <c r="F47" i="16" s="1"/>
  <c r="F51" i="16"/>
  <c r="F52" i="16"/>
  <c r="F55" i="16"/>
  <c r="F56" i="16"/>
  <c r="F57" i="16"/>
  <c r="F62" i="16"/>
  <c r="F61" i="16" s="1"/>
  <c r="F60" i="16" s="1"/>
  <c r="F59" i="16" s="1"/>
  <c r="F58" i="16" s="1"/>
  <c r="F89" i="16"/>
  <c r="F88" i="16"/>
  <c r="F84" i="16"/>
  <c r="F83" i="16"/>
  <c r="F79" i="16"/>
  <c r="F78" i="16"/>
  <c r="F75" i="16"/>
  <c r="F74" i="16"/>
  <c r="F71" i="16"/>
  <c r="F70" i="16"/>
  <c r="F69" i="16"/>
  <c r="F94" i="16"/>
  <c r="F100" i="16"/>
  <c r="F104" i="16"/>
  <c r="F108" i="16"/>
  <c r="F107" i="16" s="1"/>
  <c r="F106" i="16" s="1"/>
  <c r="F110" i="16"/>
  <c r="F114" i="16"/>
  <c r="F115" i="16"/>
  <c r="F118" i="16"/>
  <c r="F125" i="16"/>
  <c r="F126" i="16"/>
  <c r="F129" i="16"/>
  <c r="F133" i="16"/>
  <c r="F139" i="16"/>
  <c r="F140" i="16"/>
  <c r="F143" i="16"/>
  <c r="F144" i="16"/>
  <c r="F155" i="16"/>
  <c r="F159" i="16"/>
  <c r="F167" i="16"/>
  <c r="F168" i="16"/>
  <c r="F170" i="16"/>
  <c r="F173" i="16"/>
  <c r="F174" i="16"/>
  <c r="F177" i="16"/>
  <c r="F184" i="16"/>
  <c r="F191" i="16"/>
  <c r="F195" i="16"/>
  <c r="F199" i="16"/>
  <c r="F203" i="16"/>
  <c r="F207" i="16"/>
  <c r="F211" i="16"/>
  <c r="F216" i="16"/>
  <c r="F222" i="16"/>
  <c r="F227" i="16"/>
  <c r="F226" i="16" s="1"/>
  <c r="F225" i="16" s="1"/>
  <c r="F230" i="16"/>
  <c r="F235" i="16"/>
  <c r="F240" i="16"/>
  <c r="F245" i="16"/>
  <c r="F249" i="16"/>
  <c r="F256" i="16"/>
  <c r="F260" i="16"/>
  <c r="F264" i="16"/>
  <c r="F272" i="16"/>
  <c r="F273" i="16"/>
  <c r="F276" i="16"/>
  <c r="F282" i="16"/>
  <c r="F283" i="16"/>
  <c r="F287" i="16"/>
  <c r="F288" i="16"/>
  <c r="F291" i="16"/>
  <c r="F294" i="16"/>
  <c r="F299" i="16"/>
  <c r="F302" i="16"/>
  <c r="F308" i="16"/>
  <c r="F309" i="16"/>
  <c r="F312" i="16"/>
  <c r="F314" i="16"/>
  <c r="F317" i="16"/>
  <c r="F318" i="16"/>
  <c r="F322" i="16"/>
  <c r="F323" i="16"/>
  <c r="F326" i="16"/>
  <c r="F329" i="16"/>
  <c r="F331" i="16"/>
  <c r="F335" i="16"/>
  <c r="F334" i="16" s="1"/>
  <c r="F333" i="16" s="1"/>
  <c r="F332" i="16" s="1"/>
  <c r="F340" i="16"/>
  <c r="F343" i="16"/>
  <c r="F345" i="16"/>
  <c r="F351" i="16"/>
  <c r="F355" i="16"/>
  <c r="F363" i="16"/>
  <c r="F368" i="16"/>
  <c r="F374" i="16"/>
  <c r="F375" i="16"/>
  <c r="F379" i="16"/>
  <c r="F380" i="16"/>
  <c r="F383" i="16"/>
  <c r="F386" i="16"/>
  <c r="F387" i="16"/>
  <c r="F391" i="16"/>
  <c r="F392" i="16"/>
  <c r="F396" i="16"/>
  <c r="F398" i="16"/>
  <c r="F403" i="16"/>
  <c r="F404" i="16"/>
  <c r="F402" i="16"/>
  <c r="F408" i="16"/>
  <c r="F407" i="16"/>
  <c r="F461" i="16"/>
  <c r="F460" i="16"/>
  <c r="F457" i="16"/>
  <c r="F456" i="16"/>
  <c r="F452" i="16"/>
  <c r="F451" i="16"/>
  <c r="F446" i="16"/>
  <c r="F440" i="16"/>
  <c r="F437" i="16"/>
  <c r="F433" i="16"/>
  <c r="F430" i="16"/>
  <c r="F429" i="16" s="1"/>
  <c r="F425" i="16"/>
  <c r="F422" i="16"/>
  <c r="F421" i="16"/>
  <c r="F416" i="16"/>
  <c r="F415" i="16" s="1"/>
  <c r="F414" i="16" s="1"/>
  <c r="F413" i="16" s="1"/>
  <c r="F412" i="16" s="1"/>
  <c r="F469" i="16"/>
  <c r="F535" i="16"/>
  <c r="F26" i="16" l="1"/>
  <c r="F25" i="16" s="1"/>
  <c r="F20" i="16"/>
  <c r="F124" i="16"/>
  <c r="F478" i="16"/>
  <c r="F477" i="16" s="1"/>
  <c r="F476" i="16" s="1"/>
  <c r="F475" i="16" s="1"/>
  <c r="F474" i="16" s="1"/>
  <c r="F527" i="16"/>
  <c r="F526" i="16" s="1"/>
  <c r="F525" i="16" s="1"/>
  <c r="F524" i="16" s="1"/>
  <c r="F523" i="16" s="1"/>
  <c r="F518" i="16"/>
  <c r="F517" i="16" s="1"/>
  <c r="F516" i="16" s="1"/>
  <c r="F521" i="16"/>
  <c r="F520" i="16" s="1"/>
  <c r="F522" i="16"/>
  <c r="F510" i="16"/>
  <c r="F509" i="16" s="1"/>
  <c r="F508" i="16" s="1"/>
  <c r="F513" i="16"/>
  <c r="F512" i="16" s="1"/>
  <c r="F511" i="16" s="1"/>
  <c r="F505" i="16"/>
  <c r="F504" i="16" s="1"/>
  <c r="F503" i="16" s="1"/>
  <c r="F502" i="16" s="1"/>
  <c r="F501" i="16" s="1"/>
  <c r="F497" i="16"/>
  <c r="F496" i="16" s="1"/>
  <c r="F495" i="16" s="1"/>
  <c r="F500" i="16"/>
  <c r="F499" i="16" s="1"/>
  <c r="F498" i="16" s="1"/>
  <c r="F491" i="16"/>
  <c r="F490" i="16" s="1"/>
  <c r="F489" i="16" s="1"/>
  <c r="F488" i="16" s="1"/>
  <c r="F487" i="16" s="1"/>
  <c r="F483" i="16"/>
  <c r="F482" i="16" s="1"/>
  <c r="F481" i="16" s="1"/>
  <c r="F486" i="16"/>
  <c r="F485" i="16" s="1"/>
  <c r="F484" i="16" s="1"/>
  <c r="F494" i="16" l="1"/>
  <c r="F493" i="16" s="1"/>
  <c r="F519" i="16"/>
  <c r="F515" i="16" s="1"/>
  <c r="F514" i="16" s="1"/>
  <c r="G523" i="16" s="1"/>
  <c r="F507" i="16"/>
  <c r="F506" i="16" s="1"/>
  <c r="F480" i="16"/>
  <c r="F479" i="16" s="1"/>
  <c r="F473" i="16" s="1"/>
  <c r="F547" i="16"/>
  <c r="F553" i="16"/>
  <c r="F554" i="16"/>
  <c r="F557" i="16"/>
  <c r="F558" i="16"/>
  <c r="F561" i="16"/>
  <c r="F562" i="16"/>
  <c r="F566" i="16"/>
  <c r="F573" i="16"/>
  <c r="F572" i="16" s="1"/>
  <c r="F571" i="16" s="1"/>
  <c r="F570" i="16" s="1"/>
  <c r="F569" i="16" s="1"/>
  <c r="F568" i="16" s="1"/>
  <c r="F567" i="16" s="1"/>
  <c r="F580" i="16"/>
  <c r="F579" i="16" s="1"/>
  <c r="F578" i="16" s="1"/>
  <c r="F577" i="16" s="1"/>
  <c r="F576" i="16" s="1"/>
  <c r="F575" i="16" s="1"/>
  <c r="F574" i="16" s="1"/>
  <c r="F587" i="16"/>
  <c r="F586" i="16" s="1"/>
  <c r="F585" i="16" s="1"/>
  <c r="F584" i="16" s="1"/>
  <c r="F583" i="16" s="1"/>
  <c r="F582" i="16" s="1"/>
  <c r="F581" i="16" s="1"/>
  <c r="F594" i="16"/>
  <c r="F593" i="16" s="1"/>
  <c r="F592" i="16" s="1"/>
  <c r="F591" i="16" s="1"/>
  <c r="F590" i="16" s="1"/>
  <c r="F589" i="16" s="1"/>
  <c r="F598" i="16"/>
  <c r="F597" i="16" s="1"/>
  <c r="F596" i="16" s="1"/>
  <c r="F595" i="16" s="1"/>
  <c r="F605" i="16"/>
  <c r="F604" i="16" s="1"/>
  <c r="F603" i="16" s="1"/>
  <c r="F602" i="16" s="1"/>
  <c r="F601" i="16" s="1"/>
  <c r="F600" i="16" s="1"/>
  <c r="F599" i="16" s="1"/>
  <c r="F492" i="16" l="1"/>
  <c r="F472" i="16" s="1"/>
  <c r="F471" i="16" s="1"/>
  <c r="F588" i="16"/>
  <c r="G177" i="3" l="1"/>
  <c r="F279" i="16" s="1"/>
  <c r="G260" i="3" l="1"/>
  <c r="F361" i="16" s="1"/>
  <c r="G259" i="3"/>
  <c r="G424" i="3" l="1"/>
  <c r="G423" i="3" s="1"/>
  <c r="F540" i="16"/>
  <c r="F539" i="16" s="1"/>
  <c r="F538" i="16" s="1"/>
  <c r="F537" i="16" s="1"/>
  <c r="F536" i="16" s="1"/>
  <c r="F436" i="16"/>
  <c r="F435" i="16" s="1"/>
  <c r="F395" i="16"/>
  <c r="F394" i="16" s="1"/>
  <c r="F390" i="16"/>
  <c r="F382" i="16"/>
  <c r="F381" i="16" s="1"/>
  <c r="F354" i="16"/>
  <c r="F353" i="16" s="1"/>
  <c r="F352" i="16" s="1"/>
  <c r="F339" i="16"/>
  <c r="F338" i="16" s="1"/>
  <c r="F176" i="16"/>
  <c r="F169" i="16"/>
  <c r="F389" i="16" l="1"/>
  <c r="F406" i="16"/>
  <c r="F405" i="16" s="1"/>
  <c r="F401" i="16"/>
  <c r="F400" i="16" s="1"/>
  <c r="F307" i="16"/>
  <c r="F399" i="16" l="1"/>
  <c r="F113" i="16"/>
  <c r="G651" i="3" l="1"/>
  <c r="G650" i="3" s="1"/>
  <c r="G648" i="3"/>
  <c r="G644" i="3"/>
  <c r="F99" i="16" l="1"/>
  <c r="F98" i="16" s="1"/>
  <c r="F97" i="16" s="1"/>
  <c r="F96" i="16" s="1"/>
  <c r="F85" i="16"/>
  <c r="F30" i="16"/>
  <c r="F29" i="16" s="1"/>
  <c r="F24" i="16" s="1"/>
  <c r="F565" i="16"/>
  <c r="F564" i="16" s="1"/>
  <c r="F563" i="16" s="1"/>
  <c r="F546" i="16"/>
  <c r="F545" i="16" s="1"/>
  <c r="F544" i="16" s="1"/>
  <c r="F543" i="16" s="1"/>
  <c r="F542" i="16" s="1"/>
  <c r="F534" i="16"/>
  <c r="F533" i="16" s="1"/>
  <c r="F468" i="16"/>
  <c r="F467" i="16" s="1"/>
  <c r="F466" i="16" s="1"/>
  <c r="F465" i="16" s="1"/>
  <c r="F464" i="16" s="1"/>
  <c r="F463" i="16" s="1"/>
  <c r="F462" i="16" s="1"/>
  <c r="F445" i="16"/>
  <c r="F444" i="16" s="1"/>
  <c r="F443" i="16" s="1"/>
  <c r="F442" i="16" s="1"/>
  <c r="F439" i="16"/>
  <c r="F438" i="16" s="1"/>
  <c r="F434" i="16" s="1"/>
  <c r="F432" i="16"/>
  <c r="F431" i="16" s="1"/>
  <c r="F424" i="16"/>
  <c r="F423" i="16" s="1"/>
  <c r="F397" i="16"/>
  <c r="F393" i="16" s="1"/>
  <c r="F367" i="16"/>
  <c r="F366" i="16" s="1"/>
  <c r="F365" i="16" s="1"/>
  <c r="F364" i="16" s="1"/>
  <c r="F362" i="16"/>
  <c r="F350" i="16"/>
  <c r="F349" i="16" s="1"/>
  <c r="F348" i="16" s="1"/>
  <c r="F347" i="16" s="1"/>
  <c r="F346" i="16" s="1"/>
  <c r="F344" i="16"/>
  <c r="F342" i="16"/>
  <c r="F330" i="16"/>
  <c r="F328" i="16"/>
  <c r="F325" i="16"/>
  <c r="F324" i="16" s="1"/>
  <c r="F313" i="16"/>
  <c r="F311" i="16"/>
  <c r="F306" i="16"/>
  <c r="F301" i="16"/>
  <c r="F297" i="16"/>
  <c r="F293" i="16"/>
  <c r="F292" i="16" s="1"/>
  <c r="F290" i="16"/>
  <c r="F289" i="16" s="1"/>
  <c r="F278" i="16"/>
  <c r="F277" i="16" s="1"/>
  <c r="F275" i="16"/>
  <c r="F274" i="16" s="1"/>
  <c r="F263" i="16"/>
  <c r="F262" i="16" s="1"/>
  <c r="F261" i="16" s="1"/>
  <c r="F259" i="16"/>
  <c r="F258" i="16" s="1"/>
  <c r="F257" i="16" s="1"/>
  <c r="F255" i="16"/>
  <c r="F254" i="16" s="1"/>
  <c r="F253" i="16" s="1"/>
  <c r="F248" i="16"/>
  <c r="F247" i="16" s="1"/>
  <c r="F246" i="16" s="1"/>
  <c r="F244" i="16"/>
  <c r="F243" i="16" s="1"/>
  <c r="F242" i="16" s="1"/>
  <c r="F239" i="16"/>
  <c r="F238" i="16" s="1"/>
  <c r="F237" i="16" s="1"/>
  <c r="F236" i="16" s="1"/>
  <c r="F234" i="16"/>
  <c r="F233" i="16" s="1"/>
  <c r="F232" i="16" s="1"/>
  <c r="F231" i="16" s="1"/>
  <c r="F229" i="16"/>
  <c r="F228" i="16" s="1"/>
  <c r="F221" i="16"/>
  <c r="F220" i="16" s="1"/>
  <c r="F215" i="16"/>
  <c r="F214" i="16" s="1"/>
  <c r="F213" i="16" s="1"/>
  <c r="F212" i="16" s="1"/>
  <c r="F210" i="16"/>
  <c r="F209" i="16" s="1"/>
  <c r="F208" i="16" s="1"/>
  <c r="F206" i="16"/>
  <c r="F205" i="16" s="1"/>
  <c r="F204" i="16" s="1"/>
  <c r="F202" i="16"/>
  <c r="F201" i="16" s="1"/>
  <c r="F200" i="16" s="1"/>
  <c r="F198" i="16"/>
  <c r="F197" i="16" s="1"/>
  <c r="F196" i="16" s="1"/>
  <c r="F194" i="16"/>
  <c r="F193" i="16" s="1"/>
  <c r="F192" i="16" s="1"/>
  <c r="F190" i="16"/>
  <c r="F189" i="16" s="1"/>
  <c r="F188" i="16" s="1"/>
  <c r="F183" i="16"/>
  <c r="F182" i="16" s="1"/>
  <c r="F181" i="16" s="1"/>
  <c r="F180" i="16" s="1"/>
  <c r="F179" i="16" s="1"/>
  <c r="F158" i="16"/>
  <c r="F157" i="16" s="1"/>
  <c r="F156" i="16" s="1"/>
  <c r="F154" i="16"/>
  <c r="F153" i="16" s="1"/>
  <c r="F152" i="16" s="1"/>
  <c r="F132" i="16"/>
  <c r="F128" i="16"/>
  <c r="F127" i="16" s="1"/>
  <c r="F117" i="16"/>
  <c r="F116" i="16" s="1"/>
  <c r="F109" i="16"/>
  <c r="F105" i="16" s="1"/>
  <c r="F103" i="16"/>
  <c r="F102" i="16" s="1"/>
  <c r="F101" i="16" s="1"/>
  <c r="F131" i="16" l="1"/>
  <c r="F130" i="16" s="1"/>
  <c r="F219" i="16"/>
  <c r="F218" i="16" s="1"/>
  <c r="F224" i="16"/>
  <c r="F223" i="16" s="1"/>
  <c r="F217" i="16" s="1"/>
  <c r="F532" i="16"/>
  <c r="F531" i="16" s="1"/>
  <c r="F530" i="16" s="1"/>
  <c r="F529" i="16" s="1"/>
  <c r="F528" i="16" s="1"/>
  <c r="F252" i="16"/>
  <c r="F251" i="16" s="1"/>
  <c r="F250" i="16" s="1"/>
  <c r="F187" i="16"/>
  <c r="F186" i="16" s="1"/>
  <c r="F54" i="16"/>
  <c r="F53" i="16" s="1"/>
  <c r="F77" i="16"/>
  <c r="F76" i="16" s="1"/>
  <c r="F142" i="16"/>
  <c r="F141" i="16" s="1"/>
  <c r="F420" i="16"/>
  <c r="F419" i="16" s="1"/>
  <c r="F418" i="16" s="1"/>
  <c r="F417" i="16" s="1"/>
  <c r="F341" i="16"/>
  <c r="F552" i="16"/>
  <c r="F551" i="16" s="1"/>
  <c r="F550" i="16" s="1"/>
  <c r="F44" i="16"/>
  <c r="F43" i="16" s="1"/>
  <c r="F298" i="16"/>
  <c r="F271" i="16"/>
  <c r="F270" i="16" s="1"/>
  <c r="F281" i="16"/>
  <c r="F280" i="16" s="1"/>
  <c r="F378" i="16"/>
  <c r="F377" i="16" s="1"/>
  <c r="F388" i="16"/>
  <c r="F175" i="16"/>
  <c r="F450" i="16"/>
  <c r="F449" i="16" s="1"/>
  <c r="F448" i="16" s="1"/>
  <c r="F556" i="16"/>
  <c r="F555" i="16" s="1"/>
  <c r="F385" i="16"/>
  <c r="F384" i="16" s="1"/>
  <c r="F428" i="16"/>
  <c r="F427" i="16" s="1"/>
  <c r="F426" i="16" s="1"/>
  <c r="F73" i="16"/>
  <c r="F72" i="16" s="1"/>
  <c r="F112" i="16"/>
  <c r="F111" i="16" s="1"/>
  <c r="F95" i="16" s="1"/>
  <c r="F138" i="16"/>
  <c r="F137" i="16" s="1"/>
  <c r="F560" i="16"/>
  <c r="F559" i="16" s="1"/>
  <c r="F82" i="16"/>
  <c r="F81" i="16" s="1"/>
  <c r="F327" i="16"/>
  <c r="F68" i="16"/>
  <c r="F67" i="16" s="1"/>
  <c r="F241" i="16"/>
  <c r="F316" i="16"/>
  <c r="F315" i="16" s="1"/>
  <c r="F39" i="16"/>
  <c r="F38" i="16" s="1"/>
  <c r="F37" i="16" s="1"/>
  <c r="F87" i="16"/>
  <c r="F86" i="16" s="1"/>
  <c r="F286" i="16"/>
  <c r="F285" i="16" s="1"/>
  <c r="F284" i="16" s="1"/>
  <c r="F300" i="16"/>
  <c r="F296" i="16" s="1"/>
  <c r="F295" i="16" s="1"/>
  <c r="F310" i="16"/>
  <c r="F321" i="16"/>
  <c r="F320" i="16" s="1"/>
  <c r="F373" i="16"/>
  <c r="F372" i="16" s="1"/>
  <c r="F371" i="16" s="1"/>
  <c r="F455" i="16"/>
  <c r="F454" i="16" s="1"/>
  <c r="F19" i="16"/>
  <c r="F18" i="16" s="1"/>
  <c r="F151" i="16"/>
  <c r="F150" i="16" s="1"/>
  <c r="F50" i="16"/>
  <c r="F49" i="16" s="1"/>
  <c r="F166" i="16"/>
  <c r="F165" i="16" s="1"/>
  <c r="F172" i="16"/>
  <c r="F171" i="16" s="1"/>
  <c r="F459" i="16"/>
  <c r="F458" i="16" s="1"/>
  <c r="E24" i="15"/>
  <c r="D24" i="15"/>
  <c r="D23" i="15"/>
  <c r="E22" i="14"/>
  <c r="E23" i="14" s="1"/>
  <c r="D22" i="14"/>
  <c r="D20" i="14"/>
  <c r="D21" i="8"/>
  <c r="F27" i="11"/>
  <c r="E27" i="11"/>
  <c r="E25" i="10"/>
  <c r="D18" i="12"/>
  <c r="E19" i="13"/>
  <c r="D19" i="13"/>
  <c r="F25" i="11"/>
  <c r="E25" i="11"/>
  <c r="E23" i="10"/>
  <c r="E20" i="9"/>
  <c r="E22" i="9" s="1"/>
  <c r="D20" i="9"/>
  <c r="D22" i="9" s="1"/>
  <c r="D19" i="8"/>
  <c r="F15" i="7"/>
  <c r="D15" i="7"/>
  <c r="D14" i="6"/>
  <c r="F17" i="16" l="1"/>
  <c r="F16" i="16" s="1"/>
  <c r="F42" i="16"/>
  <c r="F36" i="16" s="1"/>
  <c r="F80" i="16"/>
  <c r="F269" i="16"/>
  <c r="F268" i="16" s="1"/>
  <c r="F267" i="16" s="1"/>
  <c r="F266" i="16" s="1"/>
  <c r="F376" i="16"/>
  <c r="F370" i="16" s="1"/>
  <c r="F369" i="16" s="1"/>
  <c r="F411" i="16"/>
  <c r="F410" i="16" s="1"/>
  <c r="F337" i="16"/>
  <c r="F336" i="16" s="1"/>
  <c r="F164" i="16"/>
  <c r="F163" i="16" s="1"/>
  <c r="F162" i="16" s="1"/>
  <c r="F161" i="16" s="1"/>
  <c r="F136" i="16"/>
  <c r="F549" i="16"/>
  <c r="F305" i="16"/>
  <c r="F23" i="16"/>
  <c r="F185" i="16"/>
  <c r="F178" i="16" s="1"/>
  <c r="F66" i="16"/>
  <c r="F65" i="16" s="1"/>
  <c r="F64" i="16" s="1"/>
  <c r="F453" i="16"/>
  <c r="F319" i="16"/>
  <c r="D23" i="14"/>
  <c r="D25" i="14"/>
  <c r="E23" i="15"/>
  <c r="D25" i="15"/>
  <c r="E25" i="15"/>
  <c r="E21" i="14"/>
  <c r="D21" i="14"/>
  <c r="G289" i="3"/>
  <c r="G288" i="3" s="1"/>
  <c r="G205" i="3"/>
  <c r="G247" i="3"/>
  <c r="G246" i="3" s="1"/>
  <c r="G245" i="3" s="1"/>
  <c r="G252" i="3"/>
  <c r="G251" i="3" s="1"/>
  <c r="G250" i="3" s="1"/>
  <c r="G249" i="3" s="1"/>
  <c r="G226" i="3"/>
  <c r="G228" i="3"/>
  <c r="G168" i="3"/>
  <c r="G179" i="3"/>
  <c r="G188" i="3"/>
  <c r="F135" i="16" l="1"/>
  <c r="F134" i="16" s="1"/>
  <c r="F304" i="16"/>
  <c r="F548" i="16"/>
  <c r="F541" i="16" s="1"/>
  <c r="F470" i="16" s="1"/>
  <c r="G563" i="16"/>
  <c r="F360" i="16"/>
  <c r="F359" i="16" s="1"/>
  <c r="F358" i="16" s="1"/>
  <c r="F357" i="16" s="1"/>
  <c r="F356" i="16" s="1"/>
  <c r="G225" i="3"/>
  <c r="G244" i="3"/>
  <c r="F447" i="16"/>
  <c r="F63" i="16"/>
  <c r="F160" i="16"/>
  <c r="G204" i="3"/>
  <c r="F441" i="16" l="1"/>
  <c r="F409" i="16" s="1"/>
  <c r="F303" i="16"/>
  <c r="F265" i="16" s="1"/>
  <c r="G443" i="3"/>
  <c r="G442" i="3" s="1"/>
  <c r="G441" i="3" s="1"/>
  <c r="F93" i="16" l="1"/>
  <c r="F92" i="16" s="1"/>
  <c r="F91" i="16" s="1"/>
  <c r="F90" i="16" s="1"/>
  <c r="F15" i="16" s="1"/>
  <c r="G440" i="3"/>
  <c r="G431" i="3"/>
  <c r="G521" i="3"/>
  <c r="G520" i="3" s="1"/>
  <c r="G595" i="3"/>
  <c r="G594" i="3" s="1"/>
  <c r="G312" i="3"/>
  <c r="G311" i="3" s="1"/>
  <c r="G371" i="3"/>
  <c r="G360" i="3" l="1"/>
  <c r="G359" i="3" s="1"/>
  <c r="G364" i="3"/>
  <c r="G363" i="3" s="1"/>
  <c r="G53" i="3" l="1"/>
  <c r="G48" i="3"/>
  <c r="G47" i="3" s="1"/>
  <c r="G46" i="3" s="1"/>
  <c r="G39" i="3"/>
  <c r="G38" i="3" s="1"/>
  <c r="G438" i="3" l="1"/>
  <c r="G437" i="3" s="1"/>
  <c r="G436" i="3" s="1"/>
  <c r="G435" i="3" s="1"/>
  <c r="G615" i="3" l="1"/>
  <c r="G242" i="3"/>
  <c r="G241" i="3" s="1"/>
  <c r="G240" i="3" s="1"/>
  <c r="G233" i="3"/>
  <c r="G232" i="3" s="1"/>
  <c r="G276" i="3"/>
  <c r="G275" i="3" s="1"/>
  <c r="G283" i="3"/>
  <c r="G132" i="3" l="1"/>
  <c r="G131" i="3"/>
  <c r="G130" i="3" s="1"/>
  <c r="G129" i="3" s="1"/>
  <c r="G128" i="3" s="1"/>
  <c r="G71" i="3"/>
  <c r="G70" i="3" s="1"/>
  <c r="G69" i="3" s="1"/>
  <c r="D45" i="4" l="1"/>
  <c r="D39" i="4" l="1"/>
  <c r="D35" i="4"/>
  <c r="D30" i="4"/>
  <c r="D24" i="4"/>
  <c r="D17" i="4"/>
  <c r="G315" i="3"/>
  <c r="G314" i="3" s="1"/>
  <c r="G319" i="3"/>
  <c r="G261" i="3"/>
  <c r="G258" i="3" s="1"/>
  <c r="G256" i="3" l="1"/>
  <c r="G255" i="3" s="1"/>
  <c r="G254" i="3" s="1"/>
  <c r="G257" i="3"/>
  <c r="D16" i="4"/>
  <c r="G461" i="3"/>
  <c r="G465" i="3"/>
  <c r="G464" i="3" s="1"/>
  <c r="G472" i="3"/>
  <c r="G471" i="3" s="1"/>
  <c r="G476" i="3"/>
  <c r="G475" i="3" s="1"/>
  <c r="F123" i="16" s="1"/>
  <c r="G575" i="3"/>
  <c r="G574" i="3" s="1"/>
  <c r="G570" i="3"/>
  <c r="G569" i="3" s="1"/>
  <c r="G608" i="3"/>
  <c r="G607" i="3" s="1"/>
  <c r="G606" i="3" s="1"/>
  <c r="G605" i="3" s="1"/>
  <c r="F122" i="16" l="1"/>
  <c r="F121" i="16" s="1"/>
  <c r="F120" i="16" s="1"/>
  <c r="F119" i="16" s="1"/>
  <c r="G470" i="3"/>
  <c r="G469" i="3" s="1"/>
  <c r="G468" i="3" s="1"/>
  <c r="G467" i="3" s="1"/>
  <c r="G568" i="3"/>
  <c r="G567" i="3" s="1"/>
  <c r="F14" i="16" l="1"/>
  <c r="H14" i="16" s="1"/>
  <c r="G80" i="3"/>
  <c r="G238" i="3" l="1"/>
  <c r="G236" i="3"/>
  <c r="G211" i="3"/>
  <c r="G209" i="3"/>
  <c r="G199" i="3"/>
  <c r="G198" i="3" s="1"/>
  <c r="G172" i="3"/>
  <c r="G176" i="3"/>
  <c r="G175" i="3" s="1"/>
  <c r="G178" i="3"/>
  <c r="G191" i="3"/>
  <c r="G190" i="3" s="1"/>
  <c r="G26" i="3"/>
  <c r="G25" i="3"/>
  <c r="G24" i="3" s="1"/>
  <c r="G23" i="3" s="1"/>
  <c r="G21" i="3"/>
  <c r="G20" i="3" s="1"/>
  <c r="G19" i="3" s="1"/>
  <c r="G18" i="3" s="1"/>
  <c r="G623" i="3"/>
  <c r="G629" i="3"/>
  <c r="G628" i="3" s="1"/>
  <c r="G633" i="3"/>
  <c r="G632" i="3" s="1"/>
  <c r="G636" i="3"/>
  <c r="G635" i="3" s="1"/>
  <c r="G643" i="3"/>
  <c r="G208" i="3" l="1"/>
  <c r="G17" i="3"/>
  <c r="G627" i="3"/>
  <c r="G626" i="3" s="1"/>
  <c r="G622" i="3"/>
  <c r="G621" i="3" s="1"/>
  <c r="G620" i="3" s="1"/>
  <c r="G619" i="3" s="1"/>
  <c r="G647" i="3"/>
  <c r="G235" i="3"/>
  <c r="G231" i="3" s="1"/>
  <c r="G230" i="3" s="1"/>
  <c r="G16" i="3" l="1"/>
  <c r="G618" i="3"/>
  <c r="G91" i="3"/>
  <c r="G642" i="3" l="1"/>
  <c r="G641" i="3" s="1"/>
  <c r="G640" i="3" s="1"/>
  <c r="G639" i="3" s="1"/>
  <c r="G614" i="3"/>
  <c r="G613" i="3" s="1"/>
  <c r="G612" i="3" s="1"/>
  <c r="G611" i="3" s="1"/>
  <c r="G610" i="3" s="1"/>
  <c r="G604" i="3"/>
  <c r="G603" i="3" s="1"/>
  <c r="G601" i="3"/>
  <c r="G600" i="3" s="1"/>
  <c r="G599" i="3" s="1"/>
  <c r="G598" i="3" s="1"/>
  <c r="G592" i="3"/>
  <c r="G591" i="3" s="1"/>
  <c r="G584" i="3"/>
  <c r="G583" i="3" s="1"/>
  <c r="G582" i="3" s="1"/>
  <c r="G581" i="3" s="1"/>
  <c r="G580" i="3" s="1"/>
  <c r="G579" i="3" s="1"/>
  <c r="G578" i="3" s="1"/>
  <c r="G565" i="3"/>
  <c r="G564" i="3" s="1"/>
  <c r="G563" i="3" s="1"/>
  <c r="G562" i="3" s="1"/>
  <c r="G561" i="3" s="1"/>
  <c r="G558" i="3"/>
  <c r="G557" i="3" s="1"/>
  <c r="G556" i="3" s="1"/>
  <c r="G554" i="3"/>
  <c r="G553" i="3" s="1"/>
  <c r="G552" i="3" s="1"/>
  <c r="G550" i="3"/>
  <c r="G549" i="3" s="1"/>
  <c r="G548" i="3" s="1"/>
  <c r="G543" i="3"/>
  <c r="G542" i="3" s="1"/>
  <c r="G541" i="3" s="1"/>
  <c r="G540" i="3" s="1"/>
  <c r="G538" i="3"/>
  <c r="G537" i="3" s="1"/>
  <c r="G536" i="3" s="1"/>
  <c r="G534" i="3"/>
  <c r="G533" i="3" s="1"/>
  <c r="G532" i="3" s="1"/>
  <c r="G529" i="3"/>
  <c r="G528" i="3" s="1"/>
  <c r="G527" i="3" s="1"/>
  <c r="G526" i="3" s="1"/>
  <c r="G524" i="3"/>
  <c r="G523" i="3" s="1"/>
  <c r="G516" i="3"/>
  <c r="G515" i="3" s="1"/>
  <c r="G509" i="3"/>
  <c r="G508" i="3" s="1"/>
  <c r="G507" i="3" s="1"/>
  <c r="G506" i="3" s="1"/>
  <c r="G505" i="3" s="1"/>
  <c r="G502" i="3"/>
  <c r="G501" i="3" s="1"/>
  <c r="G500" i="3" s="1"/>
  <c r="G498" i="3"/>
  <c r="G497" i="3" s="1"/>
  <c r="G496" i="3" s="1"/>
  <c r="G486" i="3"/>
  <c r="G485" i="3" s="1"/>
  <c r="G482" i="3"/>
  <c r="G481" i="3" s="1"/>
  <c r="G460" i="3"/>
  <c r="G457" i="3"/>
  <c r="G453" i="3"/>
  <c r="G452" i="3" s="1"/>
  <c r="G451" i="3" s="1"/>
  <c r="G449" i="3"/>
  <c r="G448" i="3" s="1"/>
  <c r="G447" i="3" s="1"/>
  <c r="G446" i="3" s="1"/>
  <c r="G430" i="3"/>
  <c r="G427" i="3"/>
  <c r="G426" i="3" s="1"/>
  <c r="G420" i="3"/>
  <c r="G419" i="3" s="1"/>
  <c r="G415" i="3"/>
  <c r="G414" i="3" s="1"/>
  <c r="G413" i="3" s="1"/>
  <c r="G408" i="3"/>
  <c r="G407" i="3" s="1"/>
  <c r="G406" i="3" s="1"/>
  <c r="G405" i="3" s="1"/>
  <c r="G404" i="3" s="1"/>
  <c r="G403" i="3" s="1"/>
  <c r="G401" i="3"/>
  <c r="G400" i="3" s="1"/>
  <c r="G399" i="3" s="1"/>
  <c r="G397" i="3"/>
  <c r="G396" i="3" s="1"/>
  <c r="G395" i="3" s="1"/>
  <c r="G394" i="3" s="1"/>
  <c r="G393" i="3" s="1"/>
  <c r="G390" i="3"/>
  <c r="G389" i="3" s="1"/>
  <c r="G388" i="3" s="1"/>
  <c r="G387" i="3" s="1"/>
  <c r="G386" i="3" s="1"/>
  <c r="G385" i="3" s="1"/>
  <c r="G383" i="3"/>
  <c r="G382" i="3" s="1"/>
  <c r="G381" i="3" s="1"/>
  <c r="G380" i="3" s="1"/>
  <c r="G379" i="3" s="1"/>
  <c r="G377" i="3"/>
  <c r="G376" i="3" s="1"/>
  <c r="G375" i="3" s="1"/>
  <c r="G374" i="3" s="1"/>
  <c r="G370" i="3"/>
  <c r="G367" i="3"/>
  <c r="G366" i="3" s="1"/>
  <c r="G351" i="3"/>
  <c r="G350" i="3" s="1"/>
  <c r="G349" i="3" s="1"/>
  <c r="G348" i="3" s="1"/>
  <c r="G346" i="3"/>
  <c r="G345" i="3" s="1"/>
  <c r="G344" i="3" s="1"/>
  <c r="G342" i="3"/>
  <c r="G341" i="3" s="1"/>
  <c r="G340" i="3" s="1"/>
  <c r="G338" i="3"/>
  <c r="G337" i="3" s="1"/>
  <c r="G336" i="3" s="1"/>
  <c r="G334" i="3"/>
  <c r="G333" i="3" s="1"/>
  <c r="G332" i="3" s="1"/>
  <c r="G330" i="3"/>
  <c r="G329" i="3" s="1"/>
  <c r="G328" i="3" s="1"/>
  <c r="G326" i="3"/>
  <c r="G325" i="3" s="1"/>
  <c r="G324" i="3" s="1"/>
  <c r="G318" i="3"/>
  <c r="G308" i="3"/>
  <c r="G307" i="3" s="1"/>
  <c r="G299" i="3"/>
  <c r="G298" i="3" s="1"/>
  <c r="G291" i="3"/>
  <c r="G287" i="3" s="1"/>
  <c r="G282" i="3"/>
  <c r="G279" i="3"/>
  <c r="G278" i="3" s="1"/>
  <c r="G272" i="3"/>
  <c r="G271" i="3" s="1"/>
  <c r="G267" i="3"/>
  <c r="G266" i="3" s="1"/>
  <c r="G265" i="3" s="1"/>
  <c r="G223" i="3"/>
  <c r="G222" i="3" s="1"/>
  <c r="G219" i="3"/>
  <c r="G218" i="3" s="1"/>
  <c r="G214" i="3"/>
  <c r="G213" i="3" s="1"/>
  <c r="G203" i="3" s="1"/>
  <c r="G196" i="3"/>
  <c r="G195" i="3"/>
  <c r="G194" i="3" s="1"/>
  <c r="G193" i="3" s="1"/>
  <c r="G187" i="3"/>
  <c r="G184" i="3"/>
  <c r="G183" i="3" s="1"/>
  <c r="G171" i="3"/>
  <c r="G167" i="3"/>
  <c r="G159" i="3"/>
  <c r="G158" i="3" s="1"/>
  <c r="G157" i="3" s="1"/>
  <c r="G154" i="3"/>
  <c r="G153" i="3" s="1"/>
  <c r="G150" i="3"/>
  <c r="G149" i="3" s="1"/>
  <c r="G146" i="3"/>
  <c r="G145" i="3" s="1"/>
  <c r="G144" i="3" s="1"/>
  <c r="G140" i="3"/>
  <c r="G139" i="3" s="1"/>
  <c r="G138" i="3" s="1"/>
  <c r="G137" i="3" s="1"/>
  <c r="G136" i="3" s="1"/>
  <c r="G135" i="3" s="1"/>
  <c r="G126" i="3"/>
  <c r="G125" i="3"/>
  <c r="G123" i="3"/>
  <c r="G122" i="3" s="1"/>
  <c r="G118" i="3"/>
  <c r="G117" i="3" s="1"/>
  <c r="G116" i="3" s="1"/>
  <c r="G115" i="3" s="1"/>
  <c r="G113" i="3"/>
  <c r="G112" i="3" s="1"/>
  <c r="G110" i="3"/>
  <c r="G109" i="3" s="1"/>
  <c r="G104" i="3"/>
  <c r="G103" i="3" s="1"/>
  <c r="G99" i="3"/>
  <c r="G98" i="3" s="1"/>
  <c r="G96" i="3"/>
  <c r="G95" i="3" s="1"/>
  <c r="G90" i="3"/>
  <c r="G89" i="3" s="1"/>
  <c r="G88" i="3" s="1"/>
  <c r="G79" i="3"/>
  <c r="G76" i="3"/>
  <c r="G75" i="3" s="1"/>
  <c r="G66" i="3"/>
  <c r="G65" i="3" s="1"/>
  <c r="G64" i="3" s="1"/>
  <c r="G63" i="3" s="1"/>
  <c r="G60" i="3"/>
  <c r="G59" i="3" s="1"/>
  <c r="G58" i="3" s="1"/>
  <c r="G45" i="3" s="1"/>
  <c r="G56" i="3"/>
  <c r="G55" i="3" s="1"/>
  <c r="G52" i="3"/>
  <c r="G43" i="3"/>
  <c r="G42" i="3" s="1"/>
  <c r="G37" i="3" s="1"/>
  <c r="G36" i="3" s="1"/>
  <c r="G34" i="3"/>
  <c r="G33" i="3" s="1"/>
  <c r="G32" i="3" s="1"/>
  <c r="G31" i="3" s="1"/>
  <c r="G495" i="3" l="1"/>
  <c r="G494" i="3" s="1"/>
  <c r="G418" i="3"/>
  <c r="G182" i="3"/>
  <c r="G166" i="3"/>
  <c r="G217" i="3"/>
  <c r="G455" i="3"/>
  <c r="G456" i="3"/>
  <c r="G519" i="3"/>
  <c r="G518" i="3" s="1"/>
  <c r="G512" i="3" s="1"/>
  <c r="G547" i="3"/>
  <c r="G546" i="3" s="1"/>
  <c r="G545" i="3" s="1"/>
  <c r="G358" i="3"/>
  <c r="G357" i="3" s="1"/>
  <c r="G356" i="3" s="1"/>
  <c r="G355" i="3" s="1"/>
  <c r="G354" i="3" s="1"/>
  <c r="G590" i="3"/>
  <c r="G589" i="3" s="1"/>
  <c r="G588" i="3" s="1"/>
  <c r="G587" i="3" s="1"/>
  <c r="G586" i="3" s="1"/>
  <c r="G74" i="3"/>
  <c r="G323" i="3"/>
  <c r="G322" i="3" s="1"/>
  <c r="G321" i="3" s="1"/>
  <c r="G306" i="3"/>
  <c r="G305" i="3" s="1"/>
  <c r="G304" i="3" s="1"/>
  <c r="G303" i="3" s="1"/>
  <c r="G270" i="3"/>
  <c r="G264" i="3" s="1"/>
  <c r="G560" i="3"/>
  <c r="G121" i="3"/>
  <c r="G120" i="3" s="1"/>
  <c r="G296" i="3"/>
  <c r="G295" i="3" s="1"/>
  <c r="G294" i="3" s="1"/>
  <c r="G293" i="3" s="1"/>
  <c r="G297" i="3"/>
  <c r="G108" i="3"/>
  <c r="G107" i="3" s="1"/>
  <c r="G102" i="3"/>
  <c r="G101" i="3"/>
  <c r="G531" i="3"/>
  <c r="G94" i="3"/>
  <c r="G93" i="3" s="1"/>
  <c r="G51" i="3"/>
  <c r="G50" i="3" s="1"/>
  <c r="G514" i="3"/>
  <c r="G513" i="3" s="1"/>
  <c r="G392" i="3"/>
  <c r="G459" i="3"/>
  <c r="G480" i="3"/>
  <c r="G479" i="3" s="1"/>
  <c r="G143" i="3"/>
  <c r="G165" i="3" l="1"/>
  <c r="G164" i="3" s="1"/>
  <c r="G163" i="3" s="1"/>
  <c r="G202" i="3"/>
  <c r="G201" i="3" s="1"/>
  <c r="G445" i="3"/>
  <c r="G106" i="3"/>
  <c r="G87" i="3"/>
  <c r="G478" i="3"/>
  <c r="G263" i="3"/>
  <c r="G68" i="3"/>
  <c r="G62" i="3" s="1"/>
  <c r="G302" i="3"/>
  <c r="G301" i="3" s="1"/>
  <c r="G617" i="3"/>
  <c r="G511" i="3"/>
  <c r="G353" i="3"/>
  <c r="G30" i="3"/>
  <c r="G142" i="3"/>
  <c r="G134" i="3" s="1"/>
  <c r="G412" i="3"/>
  <c r="G411" i="3" s="1"/>
  <c r="G162" i="3" l="1"/>
  <c r="G161" i="3" s="1"/>
  <c r="G504" i="3"/>
  <c r="G86" i="3"/>
  <c r="G85" i="3" s="1"/>
  <c r="G84" i="3" s="1"/>
  <c r="G29" i="3"/>
  <c r="G28" i="3" s="1"/>
  <c r="G15" i="3" l="1"/>
  <c r="G410" i="3"/>
  <c r="G83" i="3"/>
  <c r="G14" i="3" l="1"/>
  <c r="I14" i="3" s="1"/>
</calcChain>
</file>

<file path=xl/sharedStrings.xml><?xml version="1.0" encoding="utf-8"?>
<sst xmlns="http://schemas.openxmlformats.org/spreadsheetml/2006/main" count="12738" uniqueCount="801">
  <si>
    <t xml:space="preserve">                                                                         к Решению Хурала представителей </t>
  </si>
  <si>
    <t xml:space="preserve">                                                       муниципального района </t>
  </si>
  <si>
    <t xml:space="preserve">       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</si>
  <si>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        "О бюджете муниципального района</t>
  </si>
  <si>
    <t xml:space="preserve">                                                                                          "Бай-Тайгинский кожуун Республики Тыва"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</si>
  <si>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</si>
  <si>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</si>
  <si>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</si>
  <si>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</si>
  <si>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</si>
  <si>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</si>
  <si>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</si>
  <si>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</si>
  <si>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</si>
  <si>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</si>
  <si>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</si>
  <si>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</si>
  <si>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</si>
  <si>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</si>
  <si>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</si>
  <si>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</si>
  <si>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</si>
  <si>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</si>
  <si>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</si>
  <si>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</si>
  <si>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</si>
  <si>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</si>
  <si>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</si>
  <si>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</si>
  <si>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</si>
  <si>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</si>
  <si>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</si>
  <si>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</si>
  <si>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</si>
  <si>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</si>
  <si>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</si>
  <si>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</si>
  <si>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</si>
  <si>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</si>
  <si>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</si>
  <si>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</si>
  <si>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</si>
  <si>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</si>
  <si>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</si>
  <si>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</si>
  <si>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</si>
  <si>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</si>
  <si>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</si>
  <si>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</si>
  <si>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</si>
  <si>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</si>
  <si>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</si>
  <si>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</si>
  <si>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</si>
  <si>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</si>
  <si>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</si>
  <si>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</si>
  <si>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</si>
  <si>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</si>
  <si>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</si>
  <si>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</si>
  <si>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</si>
  <si>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</si>
  <si>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</si>
  <si>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</si>
  <si>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</si>
  <si>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</si>
  <si>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долевое финансирование подготовки документов территориального планирования</t>
  </si>
  <si>
    <t>Субсидии на мероприятия по проведению оздоровительной кампании детей</t>
  </si>
  <si>
    <t>Субсидии на ремонт автомобильных дорог общего пользования населенных пунктов за счет средств дорожного фонда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</si>
  <si>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</si>
  <si>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</si>
  <si>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</si>
  <si>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</si>
  <si>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</si>
  <si>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</si>
  <si>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</si>
  <si>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реализацию Закона Республики Тыва "О погребении и похоронном деле в Республике Тыва"</t>
  </si>
  <si>
    <t>Субвенция на реализацию Закона РТ "О мерах социальной поддержки ветеранов труда и тружеников тыла"</t>
  </si>
  <si>
    <t>Субвенции на реализацию Закона Республики Тыва "О порядке назначения выплаты ежемесячного пособия на ребенка"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</si>
  <si>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</si>
  <si>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переданных полномочий по комиссии по делам несовершеннолетних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</si>
  <si>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</si>
  <si>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</si>
  <si>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Субвенция на обеспечение равной доступности услуг общественного транспорта для отдельных категорий граждан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</si>
  <si>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</si>
  <si>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Иные межбюджетные трансферты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</si>
  <si>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</si>
  <si>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</si>
  <si>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</si>
  <si>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</si>
  <si>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</si>
  <si>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</si>
  <si>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</si>
  <si>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 xml:space="preserve">ПОСТУПЛЕНИЯ ДОХОДОВ, В ТОМ ЧИСЛЕ БЕЗВОЗМЕЗДНЫЕ ПОСТУПЛЕНИЯ, </t>
  </si>
  <si>
    <t>плановый период</t>
  </si>
  <si>
    <t>2019 год</t>
  </si>
  <si>
    <t xml:space="preserve">                                                                                              на 2018 год  и плановый период 2019-2020 годов"</t>
  </si>
  <si>
    <t>ПОЛУЧАЕМЫЕ ИЗ РЕСПУБЛИКАНСКОГО БЮДЖЕТА НА 2018 ГОД И ПЛАНОВЫЙ ПЕРИОД 2019 И 2020 ГОДОВ</t>
  </si>
  <si>
    <t>2020 год</t>
  </si>
  <si>
    <t>ПОСТУПЛЕНИЯ ДОХОДОВ, В ТОМ ЧИСЛЕ БЕЗВОЗМЕЗДНЫЕ ПОСТУПЛЕНИЯ, ПОЛУЧАЕМЫЕ ИЗ РЕСПУБЛИКАНСКОГО БЮДЖЕТА НА 2018 ГОД</t>
  </si>
  <si>
    <t>Сумма на 2018 год</t>
  </si>
  <si>
    <t>Субсидии на создание в общеобразовательных организациях,расположенных в сельской местности,условий для занятий физической культурой и спортом</t>
  </si>
  <si>
    <t>тээли</t>
  </si>
  <si>
    <t xml:space="preserve">                           Приложение № 10</t>
  </si>
  <si>
    <t xml:space="preserve">                           к Решению Хурала представителей </t>
  </si>
  <si>
    <t xml:space="preserve">                           муниципального района </t>
  </si>
  <si>
    <t xml:space="preserve">                          "Бай-Тайгинский кожуун Республики Тыва"</t>
  </si>
  <si>
    <t xml:space="preserve">                          "О бюджете муниципального района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</si>
  <si>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</si>
  <si>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</si>
  <si>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</si>
  <si>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</si>
  <si>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</si>
  <si>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</si>
  <si>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</si>
  <si>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</si>
  <si>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</si>
  <si>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>001</t>
  </si>
  <si>
    <t>КУЛЬТУРА, КИНЕМАТОГРАФИЯ</t>
  </si>
  <si>
    <t>08</t>
  </si>
  <si>
    <t>Культура</t>
  </si>
  <si>
    <t>01</t>
  </si>
  <si>
    <t>Муниципальная программа "Развитие культуры на 2015-2017 годы"</t>
  </si>
  <si>
    <t>02 0 00 00000</t>
  </si>
  <si>
    <t>Подпрограмма "Библиотечное обслуживание населения"</t>
  </si>
  <si>
    <t>02 1 00 00000</t>
  </si>
  <si>
    <t>Обеспечение деятельности муниципальных учреждений (оказание услуг)</t>
  </si>
  <si>
    <t>02 1 01 00590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</si>
  <si>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</si>
  <si>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</si>
  <si>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</si>
  <si>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</si>
  <si>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</si>
  <si>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</si>
  <si>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"Организация досуга и предоставление услуг организаций культуры"</t>
  </si>
  <si>
    <t>02 2 00 00000</t>
  </si>
  <si>
    <t>Учреждения культуры и мероприятия в сфере культуры и кинематографии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</si>
  <si>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</si>
  <si>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</si>
  <si>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</si>
  <si>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</si>
  <si>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</si>
  <si>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</si>
  <si>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</si>
  <si>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</si>
  <si>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</si>
  <si>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</si>
  <si>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 xml:space="preserve"> Иные выплаты персоналу учреждений, за исключением фонда оплаты труда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</si>
  <si>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</si>
  <si>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</si>
  <si>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</si>
  <si>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</si>
  <si>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</si>
  <si>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</si>
  <si>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</si>
  <si>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88 0 00 00000</t>
  </si>
  <si>
    <t>Льготы ЖКУ сельским специалистам учреждений культуры</t>
  </si>
  <si>
    <t>88 2 00 76240</t>
  </si>
  <si>
    <t>Другие вопросы в области культуры, кинематографии</t>
  </si>
  <si>
    <t>04</t>
  </si>
  <si>
    <t>Подпрограмма "Развитие туризма в Бай-Тайгинском кожууне"</t>
  </si>
  <si>
    <t>02 4 00 00000</t>
  </si>
  <si>
    <r>
      <rPr>
        <sz val="7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Развитие туристско-рекреационного комплекса на территории Бай-Тайгинского кожууна;</t>
    </r>
  </si>
  <si>
    <t>02 4 01 70200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</si>
  <si>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</si>
  <si>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</si>
  <si>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</si>
  <si>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</si>
  <si>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</si>
  <si>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</si>
  <si>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</si>
  <si>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</si>
  <si>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</si>
  <si>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</si>
  <si>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</si>
  <si>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</si>
  <si>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</si>
  <si>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</si>
  <si>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</si>
  <si>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</si>
  <si>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</si>
  <si>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</si>
  <si>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</si>
  <si>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</si>
  <si>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</si>
  <si>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</si>
  <si>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</si>
  <si>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</si>
  <si>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Муниципальная программа "Социальная поддержка граждан в Бай-Тайгинском кожууне на 2016-2018годы"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</si>
  <si>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</si>
  <si>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</si>
  <si>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</si>
  <si>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</si>
  <si>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</si>
  <si>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</si>
  <si>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</si>
  <si>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</si>
  <si>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</si>
  <si>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</si>
  <si>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</si>
  <si>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</si>
  <si>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04 1 02 00000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</si>
  <si>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</si>
  <si>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</si>
  <si>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</si>
  <si>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</si>
  <si>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</si>
  <si>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</si>
  <si>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</si>
  <si>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</si>
  <si>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</si>
  <si>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</si>
  <si>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</si>
  <si>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</si>
  <si>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</si>
  <si>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</si>
  <si>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</si>
  <si>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</si>
  <si>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</si>
  <si>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</si>
  <si>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</si>
  <si>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</si>
  <si>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</si>
  <si>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</si>
  <si>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</si>
  <si>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</si>
  <si>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</si>
  <si>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</si>
  <si>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</si>
  <si>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</si>
  <si>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</si>
  <si>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120</t>
  </si>
  <si>
    <t>121</t>
  </si>
  <si>
    <t>04 4 01 00190</t>
  </si>
  <si>
    <t>800</t>
  </si>
  <si>
    <t>Уплата прочих налогов, сборов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</si>
  <si>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</si>
  <si>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</si>
  <si>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</si>
  <si>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</si>
  <si>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</si>
  <si>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</si>
  <si>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</si>
  <si>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Муниципальная программа "Развитие образования на 2015-2017 годы муниципального района "Бай-Тайгинский кожуун Республики Тыва""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</si>
  <si>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</si>
  <si>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</si>
  <si>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</si>
  <si>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</si>
  <si>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</si>
  <si>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</si>
  <si>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</si>
  <si>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</si>
  <si>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</si>
  <si>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</si>
  <si>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</si>
  <si>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</si>
  <si>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01 2 00 00590</t>
  </si>
  <si>
    <t>852</t>
  </si>
  <si>
    <t>Обеспечение деятельности (оказание услуг) подведомственных учреждений</t>
  </si>
  <si>
    <t>01 2 00 76020</t>
  </si>
  <si>
    <t>Другие вопросы в области образования</t>
  </si>
  <si>
    <t>09</t>
  </si>
  <si>
    <t>Подпрограмма "Обеспечение реализации муниципальной программы "Развитие образования на 2016-2017 годы муниципального района "Бай-Тайгинский кожуун Республика Тыва"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</si>
  <si>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</si>
  <si>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</si>
  <si>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</si>
  <si>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</si>
  <si>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</si>
  <si>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</si>
  <si>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</si>
  <si>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</si>
  <si>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</si>
  <si>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Социальное обеспечение и  иные выплаты населению</t>
  </si>
  <si>
    <t>Премии и гранты</t>
  </si>
  <si>
    <t>Охрана семьи и детства</t>
  </si>
  <si>
    <t>Муниципальная программа "Развитие образования на 2015-2017 годы муниципального района "Бай-Тайгинский кожуун РТ""</t>
  </si>
  <si>
    <t xml:space="preserve">04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</si>
  <si>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</si>
  <si>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</si>
  <si>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</si>
  <si>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</si>
  <si>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</si>
  <si>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</si>
  <si>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</si>
  <si>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</si>
  <si>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</si>
  <si>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Муниципальная программа  "Развитие сельского хозяйства и регулирование рынков сельскохозяйственной продукции в Бай-Тайгинском кожууне на 2016-2018 годы"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</si>
  <si>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</si>
  <si>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</si>
  <si>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</si>
  <si>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</si>
  <si>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</si>
  <si>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Иные выплаты персоналу государственных (муниципальных) органов, за исключением фонда оплаты труда</t>
  </si>
  <si>
    <t>03 5 01 00190</t>
  </si>
  <si>
    <t>122</t>
  </si>
  <si>
    <t>Другие вопросы в области национальной экономики</t>
  </si>
  <si>
    <t>12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</si>
  <si>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2016-2018 годы"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</si>
  <si>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</si>
  <si>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</si>
  <si>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</si>
  <si>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</si>
  <si>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</si>
  <si>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03 1 06 70200</t>
  </si>
  <si>
    <t>Регулирование численности волков</t>
  </si>
  <si>
    <t>03 1 07 70200</t>
  </si>
  <si>
    <t>Организация мероприятий по проведении праздников животноводов "Наадым-2016" и дня работников сельского хозяйства</t>
  </si>
  <si>
    <t>03 1 08 70200</t>
  </si>
  <si>
    <t>Уничтожение дикорастущей конопли</t>
  </si>
  <si>
    <t>03 1 09 70200</t>
  </si>
  <si>
    <t>Подпрограмма " Поддержка малых форм хозяйствования"</t>
  </si>
  <si>
    <t>03 2 00 00000</t>
  </si>
  <si>
    <t>Поддержка начинающим фермерам"</t>
  </si>
  <si>
    <t>03 2 01 50530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</si>
  <si>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</si>
  <si>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Подпрограмма "Устойчивое развитие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</si>
  <si>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</si>
  <si>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</si>
  <si>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03 3 01 75110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</si>
  <si>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</si>
  <si>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</si>
  <si>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</si>
  <si>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</si>
  <si>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муниципального района "Бай-Тайгинский кожуун РТ" на 2016-2018гг"</t>
  </si>
  <si>
    <t>05 0 00 00000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</si>
  <si>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2016-2018годы""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</si>
  <si>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</si>
  <si>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</si>
  <si>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</si>
  <si>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</si>
  <si>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05 3 01 00110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</si>
  <si>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</si>
  <si>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</si>
  <si>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</si>
  <si>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</si>
  <si>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</si>
  <si>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</si>
  <si>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</si>
  <si>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</si>
  <si>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</si>
  <si>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97 0 00 51180</t>
  </si>
  <si>
    <t>500</t>
  </si>
  <si>
    <t>530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</si>
  <si>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</si>
  <si>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</si>
  <si>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долгом"</t>
  </si>
  <si>
    <t>05 2 00 00000</t>
  </si>
  <si>
    <t>Исполнение обязательств по обслуживанию муниципального долга в соответствии с программой муниципальных заимствований муниципального района 2Бай-Тайгиснкий кожуун Республики Тыва" и заключенными конрактами (соглашениями)</t>
  </si>
  <si>
    <t>05 2 03 70030</t>
  </si>
  <si>
    <t>Обслуживание государственного  (муниципального) долга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</si>
  <si>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</si>
  <si>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</si>
  <si>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</si>
  <si>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</si>
  <si>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</si>
  <si>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</si>
  <si>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</si>
  <si>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</si>
  <si>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</si>
  <si>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</si>
  <si>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 xml:space="preserve"> Дотации на выравнивание бюджетной обеспеченности</t>
  </si>
  <si>
    <t>511</t>
  </si>
  <si>
    <t>Иные дотации</t>
  </si>
  <si>
    <t>78 7 00 70020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</si>
  <si>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</si>
  <si>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</si>
  <si>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</si>
  <si>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</si>
  <si>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</si>
  <si>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</si>
  <si>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</si>
  <si>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</si>
  <si>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АДМИНИСТРАЦИЯ МУНИЦИПАЛЬНОГО РАЙОНА  "БАЙ-ТАЙГИНСКИЙ КОЖУУН РЕСПУБЛИКИ ТЫВА"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</si>
  <si>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</si>
  <si>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</si>
  <si>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</si>
  <si>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</si>
  <si>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</si>
  <si>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</si>
  <si>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</si>
  <si>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</si>
  <si>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</si>
  <si>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Муниципальная программа "Развитие муниципальной службы и резерва управленческих кадров муниципального района Бай-Тайгинский кожуун Республики Тыва " на 2015-2017 годы"</t>
  </si>
  <si>
    <t>17 0 00 00000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</si>
  <si>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</si>
  <si>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</si>
  <si>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</si>
  <si>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</si>
  <si>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</si>
  <si>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</si>
  <si>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</si>
  <si>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</si>
  <si>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</si>
  <si>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</si>
  <si>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годы"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</si>
  <si>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</si>
  <si>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</si>
  <si>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</si>
  <si>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</si>
  <si>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Муниципальная программа "Обеспечение общественного порядка и противодействие преступности в Бай-Тайгинском кожууне на 2015-2017 годы"</t>
  </si>
  <si>
    <t>09 0 00 00000</t>
  </si>
  <si>
    <t>Обеспечение общественного порядка и противодействие преступности в Бай-Тайгинском кожууне</t>
  </si>
  <si>
    <t>09 0 01 70200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</si>
  <si>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</si>
  <si>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</si>
  <si>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</si>
  <si>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</si>
  <si>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2015-2017 годы"</t>
  </si>
  <si>
    <t>14 0 03 70140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</si>
  <si>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</si>
  <si>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Муниципальная программа "Создание благоприятных условий  для ведения бизнеса в Бай-Тайгинском кожууне на 2016 – 2018 годы"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</si>
  <si>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</si>
  <si>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</si>
  <si>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</si>
  <si>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Создание благоприятной административной среды для инвесторов</t>
  </si>
  <si>
    <t>07 1 03 70200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</si>
  <si>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</si>
  <si>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</si>
  <si>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</si>
  <si>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</si>
  <si>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Муниципальная программа "Управление муниципальным имуществом и земельными ресурсами муниципального района "Бай-Тайгинский кожуун Республики Тыва" на 2015-2017 годы</t>
  </si>
  <si>
    <t>10 0 00 00000</t>
  </si>
  <si>
    <t>Организация эффективного управления земельными ресурсами на территории Бай-Тайгинского кожууна"</t>
  </si>
  <si>
    <t>10 0 03 70200</t>
  </si>
  <si>
    <t>Муниципальная программа "Территориальное развитие Бай-Тайгинского кожууна в 2016 – 2018 годы"</t>
  </si>
  <si>
    <t>19 0 00 00000</t>
  </si>
  <si>
    <t>19 0 01 75030</t>
  </si>
  <si>
    <t>Разработка карта (план) населенных пунктов Бай-Тайгинского кожууна</t>
  </si>
  <si>
    <t>19 0 02 70200</t>
  </si>
  <si>
    <t>Муниципальная программа "Энергосбережение и повышение энергетической эффективности на 2015-2017 годы"</t>
  </si>
  <si>
    <t>16 0 00 00000</t>
  </si>
  <si>
    <t>Переход во всех муниципальных учреждениях района к использованию энергосберегающих приборов освещения вместо ламп накаливания</t>
  </si>
  <si>
    <t>16 0 05 70150</t>
  </si>
  <si>
    <t>Жилищно-коммунальное хозяйство</t>
  </si>
  <si>
    <t>Благоустройство</t>
  </si>
  <si>
    <t>Муниципальная программа "Повышение эффективности надежности функционирования жилищно-коммунального хозяйства в Бай-Тайгинском кожууне на 2016-2018 годы"</t>
  </si>
  <si>
    <t>15 0 00 00000</t>
  </si>
  <si>
    <t>Подпрограмма "Комплексное развитие и модернизация систем коммунальной инфраструктуры в Бай-Тайгинском кожууне"</t>
  </si>
  <si>
    <t>15 0 01 70100</t>
  </si>
  <si>
    <t>Подпрограмма "Снабжение населения Бай-Тайгинского кожууна чистой водопроводной водой"</t>
  </si>
  <si>
    <t>15 0 02 70110</t>
  </si>
  <si>
    <t>Подпрограмма "Организация утилизации и переработки бытовых и промышленных отходов"</t>
  </si>
  <si>
    <t>15 0 03 70120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</si>
  <si>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</si>
  <si>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</si>
  <si>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</si>
  <si>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</si>
  <si>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</si>
  <si>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01 3 00 00000</t>
  </si>
  <si>
    <t>Учреждения по внешкольной работе с детьми</t>
  </si>
  <si>
    <t>01 3 00 00590</t>
  </si>
  <si>
    <t>Муниципальная программа "Реализация молодежной политики муниципального района "Бай-Тайгинский кожуун Республики Тыва" на 2016-2018 годы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</si>
  <si>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</si>
  <si>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</si>
  <si>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</si>
  <si>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</si>
  <si>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</si>
  <si>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Муниципальная программа "Сохранение и формирование здорового образа жизни населения в Бай-Тайгинском кожууне на 2015-2017гг"</t>
  </si>
  <si>
    <t>06 0 00 00000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</si>
  <si>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</si>
  <si>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06 1 00 00000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</si>
  <si>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</si>
  <si>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06 1 05 70200</t>
  </si>
  <si>
    <t>Социальное обеспечение  населения</t>
  </si>
  <si>
    <t>Муниципальная программа "Обеспечение жителей Бай-Тайгинского кожууна доступным и комфортным жильем на 2015-2017годы"</t>
  </si>
  <si>
    <t>18 0 00 00000</t>
  </si>
  <si>
    <t>Обеспечение жильем молодых семей</t>
  </si>
  <si>
    <t>18 0 00 05402</t>
  </si>
  <si>
    <t>Субсидии гражданам на приобретение жилья</t>
  </si>
  <si>
    <t>Физическая культура и спорт</t>
  </si>
  <si>
    <t>11</t>
  </si>
  <si>
    <t>Другие вопросы в области физической культуры и спорта</t>
  </si>
  <si>
    <t>Муниципальная программа "Развитие физической культуры и спорта в муниципальном районе "Бай-Тайгинский кожуун Республики Тыва" на 2016-2018 годы"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</si>
  <si>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</si>
  <si>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</si>
  <si>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</si>
  <si>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</si>
  <si>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</si>
  <si>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Муниципальная программа "Развитие информационного общества и средств массовой информации в Бай-тайгинском кожууне на 2016-2018 годы"</t>
  </si>
  <si>
    <t>13 0 00 00000</t>
  </si>
  <si>
    <t>Развитие средств массовой информации в Бай-Тайгинском кожууне</t>
  </si>
  <si>
    <t>13 0 03 70200</t>
  </si>
  <si>
    <t>ХУРАЛ ПРЕДСТАВИТЕЛЕЙ МУНИЦИПАЛЬНОГО РАЙОНА "БАЙ-ТАЙГИНСКИЙ КОЖУУН РТ"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</si>
  <si>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</si>
  <si>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</si>
  <si>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</si>
  <si>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</si>
  <si>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</si>
  <si>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</si>
  <si>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</si>
  <si>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</si>
  <si>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</si>
  <si>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</si>
  <si>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КОНТРОЛЬНО-СЧЕТНАЯ ПАЛАТА МУНИЦИПАЛЬНОГО РАЙОНА "БАЙ-ТАЙГИНСКИЙ КОЖУУН РТ"</t>
  </si>
  <si>
    <t>026</t>
  </si>
  <si>
    <t>Контрольно-счетный орган</t>
  </si>
  <si>
    <t>79 8 00 00000</t>
  </si>
  <si>
    <t>79 8 00 00110</t>
  </si>
  <si>
    <t>Иные выплаты персоналу, за исключением фонда оплаты труда</t>
  </si>
  <si>
    <t>79 8 00 00190</t>
  </si>
  <si>
    <t>ВЕДОМСТВЕННАЯ СТРУКТУРА РАСХОДОВ БЮДЖЕТА НА 2018 ГОД</t>
  </si>
  <si>
    <t xml:space="preserve">                           от "     "  _____________  2017 года № ___</t>
  </si>
  <si>
    <t xml:space="preserve">                           на 2018 год и плановый приод 2019-2020 годов."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</si>
  <si>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</si>
  <si>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</si>
  <si>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</si>
  <si>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</si>
  <si>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</si>
  <si>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</si>
  <si>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</si>
  <si>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РАСПРЕДЕЛЕНИЕ</t>
  </si>
  <si>
    <t>№ п/п</t>
  </si>
  <si>
    <t>Разработчики</t>
  </si>
  <si>
    <t>Наименование программ</t>
  </si>
  <si>
    <t>Утвержденный план на 2017 год</t>
  </si>
  <si>
    <t xml:space="preserve">ВСЕГО </t>
  </si>
  <si>
    <t>Развитие образования на 2016-2018 годы муниципального района "Бай-Тайгинский кожуун Республики Тыва"</t>
  </si>
  <si>
    <t>1.1. Подпрограмма "Развитие дошкольного образования"</t>
  </si>
  <si>
    <t>1.2. Подпрограмма "Развитие общего образования"</t>
  </si>
  <si>
    <t>1.3. Подпрограмма "Дополнительное образование и развитие детей"</t>
  </si>
  <si>
    <t>1.5. Подпрограмма "Отдых и оздоровление 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</si>
  <si>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</si>
  <si>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1.9. Подпрограмма "Обеспечение реализации муниципальной программы "Развитие образования на 2016-2017 годы муниципального района "Бай-Тайгинский кожуун РТ"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</si>
  <si>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</si>
  <si>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Развитие культуры на 2014-2017 годы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</si>
  <si>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</si>
  <si>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</si>
  <si>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2.3. Подпрограмма "Реализация национальной политики, развитие местного народного творчества"</t>
  </si>
  <si>
    <t>2.4. Подпрограмма "Развитие туризма в Бай-Тайгинском кожууне"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</si>
  <si>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</si>
  <si>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</si>
  <si>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Развитие сельского хозяйства и расширение рынка сельскохозяйственной продукции</t>
  </si>
  <si>
    <t>3.1. Подпрограмма "Развитие отраслей сельского хозяйства"</t>
  </si>
  <si>
    <t>3.2. Подпрограмма "Поддержка начинающим фермерам"</t>
  </si>
  <si>
    <t>3.3. Подпрограмма "Устойчивое развитие сельских территорий Бай-Тайгинского кожууна</t>
  </si>
  <si>
    <t>3.5. Подпрограмма "Обеспечение реализации муниципальной программы"</t>
  </si>
  <si>
    <t>Социальная поддержка граждан в Бай-Тайгинском кожууне на 2016-2018годы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</si>
  <si>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</si>
  <si>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</si>
  <si>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</si>
  <si>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</si>
  <si>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Управление муниципальными финансами муниципального района "Бай-Тайгинский кожуун РТ" на 2016-2018гг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</si>
  <si>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2016-2018годы""</t>
  </si>
  <si>
    <t>5.2. Управление муниципальным долгом</t>
  </si>
  <si>
    <t>Администрация муниципального района "Бай-Тайгинский кожуун Республики Тыва"</t>
  </si>
  <si>
    <t>Сохранение и формирование здорового образа жизни населения в Бай-Тайгинском кожууне на 2015-2017гг</t>
  </si>
  <si>
    <t>Создание благоприятных условий для ведения бизнеса в Бай-Тайгинском кожууне  на 2016-2018 годы</t>
  </si>
  <si>
    <t xml:space="preserve">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</t>
  </si>
  <si>
    <t>Управление муниципальным имуществом и земельными ресурсами муниципального района "Бай-Тайгинский кожуун РТ" на 2016-2018гг</t>
  </si>
  <si>
    <t>Реализация молодежной политики  муниципального района "Бай-Тайгинский кожуун РТ" на 2016-2018гг</t>
  </si>
  <si>
    <t xml:space="preserve"> Создание условий для развития физической культуры и спорта </t>
  </si>
  <si>
    <t>Развитие информационного общества и средств массовой информации в Бай-Тайгинском кожууне на 2016-2018 годы</t>
  </si>
  <si>
    <t>Развитие и функционирование дорожно-транспортного хозяйства муниципального района "Бай-Тайгинский кожуун РТ" на 2015-2017гг</t>
  </si>
  <si>
    <t>Повышение эффективности надежности функционирования жилищно-коммунального хозяйства в Бай-Тайгинском кожууне на 2016-2018 годы</t>
  </si>
  <si>
    <t>Энергосбережение и повышение энергетической эффективности на 2015-2017 годы</t>
  </si>
  <si>
    <t>Развитие муниципальной службы и резерва управленческих кадров муниципального района "Бай-Тайгинский кожуун РТ" на 2015-2017гг</t>
  </si>
  <si>
    <t>Обеспечение жителей Бай-Тайгинского кожууна доступным и комфортным жильем на 2016-2018годы</t>
  </si>
  <si>
    <t>Территориальное развитие Бай-Тайгинского кожууна в 2016 – 2018 годы</t>
  </si>
  <si>
    <t>бюджетных ассигнований на реализацию муниципальных программ на 2018 год.</t>
  </si>
  <si>
    <t>Утвержденный план на 2018 год</t>
  </si>
  <si>
    <t>9.1. Подпрограмма"Обеспечение общественного порядка и противодействие преступности в Бай-Тайгинском кожууне"</t>
  </si>
  <si>
    <t>Обеспечение общественного порядка и противодействие преступности на территории муниципального района "Бай-Тайгинский кожуун республики Тыва" на 2018-2020гг.</t>
  </si>
  <si>
    <t>9.2. Подпрограмма "Профилактика безнадзорности и правонарушений несовершеннолетних в Бай-Тайгинском кожууне"</t>
  </si>
  <si>
    <t>Уплата иных платежей</t>
  </si>
  <si>
    <t>Иные выплаты персоналу учреждений, за исключением фонда оплаты труда</t>
  </si>
  <si>
    <t>01 2 00 L0970</t>
  </si>
  <si>
    <t>Субсидии бюджетным учреждениям на иные цели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</si>
  <si>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</si>
  <si>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</si>
  <si>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</si>
  <si>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>87 2 00 76240</t>
  </si>
  <si>
    <t xml:space="preserve">Социальные выплаты гражданам, кроме публичных нормативных
социальных выплат
</t>
  </si>
  <si>
    <t>Стипендии</t>
  </si>
  <si>
    <t>Приложение №21</t>
  </si>
  <si>
    <t xml:space="preserve">к Решению Хурала представителей </t>
  </si>
  <si>
    <t xml:space="preserve"> муниципального района </t>
  </si>
  <si>
    <t>"Бай-Тайгинский кожуун Республики Тыва"</t>
  </si>
  <si>
    <t>"О бюджете муниципального района</t>
  </si>
  <si>
    <t>(тыс.руб.)</t>
  </si>
  <si>
    <t>Наименование сельских поселений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</si>
  <si>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</si>
  <si>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</si>
  <si>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</si>
  <si>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</si>
  <si>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</si>
  <si>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</si>
  <si>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 С Е Г О </t>
  </si>
  <si>
    <t>Приложение №22</t>
  </si>
  <si>
    <t>Бай-Тайгинский кожуун Республики Тыва"</t>
  </si>
  <si>
    <t>на 2018 г.</t>
  </si>
  <si>
    <t>от "    "  ___________2017 года № ___</t>
  </si>
  <si>
    <t>на 2018 год и планновый период 2019-2020 годов"</t>
  </si>
  <si>
    <t>от "    "  ___________2017 года № ____</t>
  </si>
  <si>
    <t>на 2018 год и на плановый период 2019-2020 годов"</t>
  </si>
  <si>
    <t>Приложение №19</t>
  </si>
  <si>
    <t>от "    "  ___________2017 года № _____</t>
  </si>
  <si>
    <t>Приложение №20</t>
  </si>
  <si>
    <t xml:space="preserve">к Решению Хурала Представителей </t>
  </si>
  <si>
    <t>Приложение № 17</t>
  </si>
  <si>
    <t xml:space="preserve">                                      </t>
  </si>
  <si>
    <t>Распределение</t>
  </si>
  <si>
    <t xml:space="preserve">Всего </t>
  </si>
  <si>
    <t xml:space="preserve">                                       на 2018 год и на плановый период 2019 и 2020 годов"</t>
  </si>
  <si>
    <t>субвенции на осуществление государственных полномочий по установлению запрета на розничную продажу алкогольной продукции в РТ на 2018 год.</t>
  </si>
  <si>
    <t>Приложение № 18</t>
  </si>
  <si>
    <t xml:space="preserve">                                                  от "     " ___________ 2014 года № </t>
  </si>
  <si>
    <t xml:space="preserve">                                                              на 2015 год и на плановый период 2016 и 2017 годов"</t>
  </si>
  <si>
    <t>на 2019 г.</t>
  </si>
  <si>
    <t>субвенции на осуществление государственных полномочий по установлению запрета на розничную продажу алкогольной продукции в РТ на плановый период 2019-2020 годов.</t>
  </si>
  <si>
    <t>на 2020 г.</t>
  </si>
  <si>
    <t xml:space="preserve"> 2019 г.</t>
  </si>
  <si>
    <t>2020 г.</t>
  </si>
  <si>
    <t>Приложение №15</t>
  </si>
  <si>
    <t>к Решению Хурала представителей</t>
  </si>
  <si>
    <t xml:space="preserve">                         </t>
  </si>
  <si>
    <t xml:space="preserve">     Распределение</t>
  </si>
  <si>
    <t>1.</t>
  </si>
  <si>
    <t>2.</t>
  </si>
  <si>
    <t>3.</t>
  </si>
  <si>
    <t>4.</t>
  </si>
  <si>
    <t>на 2018 год</t>
  </si>
  <si>
    <t>Приложение №16</t>
  </si>
  <si>
    <t>Рапределение</t>
  </si>
  <si>
    <t>Дотации бюджетам  муниципальных образований на поддержку мер по обеспечению сбалансированности бюджетов на 2018 год</t>
  </si>
  <si>
    <t>Дотации бюджетам  муниципальных образований на поддержку мер по обеспечению сбалансированности бюджетов на плановый период 2019-2020  годов.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</si>
  <si>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2018 год.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</si>
  <si>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2018 год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</si>
  <si>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плановый период 2019-2020 годов.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</si>
  <si>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на плановый период 2019-2020 годов.</t>
  </si>
  <si>
    <t>Приложение №13</t>
  </si>
  <si>
    <t>сумон Тээли</t>
  </si>
  <si>
    <t xml:space="preserve">на 2018 г. </t>
  </si>
  <si>
    <t>межбюджетных трансфертов бюджетам сельских поселений в виде дотаций на выравнивание бюджетной обеспеченности на 2018 год</t>
  </si>
  <si>
    <t>Приложение №14</t>
  </si>
  <si>
    <t xml:space="preserve">на 2019 г. </t>
  </si>
  <si>
    <t>от "    "  ___________2017 года № ______</t>
  </si>
  <si>
    <t>на 2018 год и планновый период 2018-2020 годов"</t>
  </si>
  <si>
    <t xml:space="preserve">на 2020 г. </t>
  </si>
  <si>
    <t>межбюджетных трансфертов бюджетам сельских поселений в виде дотаций на выравнивание бюджетной обеспеченности на плановый период 2019-2020  годов.</t>
  </si>
  <si>
    <t xml:space="preserve">                                                                                   к Решению Хурала представителей 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</si>
  <si>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</si>
  <si>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</si>
  <si>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"О бюджете муниципального района</t>
  </si>
  <si>
    <t>РАСПРЕДЕЛЕНИЕ БЮДЖЕТНЫХ АССИГНОВАНИЙ ПО РАЗДЕЛАМ И ПОДРАЗДЕЛАМ, ЦЕЛЕВЫМ</t>
  </si>
  <si>
    <t>Секретарь Хурала Представителей</t>
  </si>
  <si>
    <t>Программа "Развитие сельского хозяйства и продовольственного рынка РТ на 2013-2020гг."</t>
  </si>
  <si>
    <t>Муниципальная программа "Развитие образования на 2015-2017 годы муниципального района "Бай-Тайгинский кожуун Республики Тыва"</t>
  </si>
  <si>
    <t>Культура и кинематография</t>
  </si>
  <si>
    <t>Муниципальная программа "Развитие образования на 2016-2017 годы муниципального района "Бай-Тайгинский кожуун РТ""</t>
  </si>
  <si>
    <t>Закупка товаров, работ и услуг для государственных (муниципальных) нужд</t>
  </si>
  <si>
    <t>Пособия, компенсации и иные социальные выплаты
гражданам, кроме публичных нормативных обязательств</t>
  </si>
  <si>
    <t>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</si>
  <si>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</si>
  <si>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</si>
  <si>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Субвенции на реализацию общих образовательных учреждений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</si>
  <si>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</si>
  <si>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</si>
  <si>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</si>
  <si>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выплату государственных пособий лицам, не подлежащим обязательному социальному страхованию на случай временной нетрудодоступности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дете» на 2018 год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</si>
  <si>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</si>
  <si>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</si>
  <si>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>Субвенции на реализацию Закона Республики Тыва «О погребении и похоронном деле в Республике Тыва» на 2018 год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</si>
  <si>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</si>
  <si>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</si>
  <si>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</si>
  <si>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78 9 00 70200</t>
  </si>
  <si>
    <t>Резервные средства администации</t>
  </si>
  <si>
    <t>Сумма на 2019 год</t>
  </si>
  <si>
    <t>Сумма на 2020 год</t>
  </si>
  <si>
    <t>999 99 99</t>
  </si>
  <si>
    <t>Условна утверженные расходы</t>
  </si>
  <si>
    <t xml:space="preserve"> СТАТЬЯМ И ВИДАМ РАСХОДОВ КЛАССИФИКАЦИИ РАСХОДОВ БЮДЖЕТА НА 2018 ГОД</t>
  </si>
  <si>
    <t xml:space="preserve">                                                                                   на 2018 год и плановый приод 2019-2020 годов."</t>
  </si>
  <si>
    <t xml:space="preserve">                                                                                                                             от "    " ____________ 2017 года № </t>
  </si>
  <si>
    <t xml:space="preserve"> СТАТЬЯМ И ВИДАМ РАСХОДОВ КЛАССИФИКАЦИИ РАСХОДОВ БЮДЖЕТА НА 2018 ГОД И ПЛАНОВЫЙ ПЕРИОД 2019 И 2020 ГОДОВ</t>
  </si>
  <si>
    <t xml:space="preserve">                                                                                                                             от "    " ____________ 2017 года №_________ </t>
  </si>
  <si>
    <t>ВЕДОМСТВЕННАЯ СТРУКТУРА РАСХОДОВ БЮДЖЕТА НА 2018 ГОД И ПЛАНОВЫЙ ПЕРИОД 2019 И 2020 ГОДОВ</t>
  </si>
  <si>
    <t>Утвержденный план на 2019 год</t>
  </si>
  <si>
    <t>Утвержденный план на 2020 год</t>
  </si>
  <si>
    <t>бюджетных ассигнований на реализацию муниципальных программ НА 2018 ГОД И ПЛАНОВЫЙ ПЕРИОД 2019 И 2020 ГОДОВ</t>
  </si>
  <si>
    <t xml:space="preserve"> НОРМАТИВЫ РАСПРЕДЕЛЕНИЯ ДОХОДОВ МЕЖДУ БЮДЖЕТОМ И БЮДЖЕТАМИ МУНИЦИПАЛЬНЫХ ОБРАЗОВАНИЙ</t>
  </si>
  <si>
    <t>(в процентах)</t>
  </si>
  <si>
    <t>НАИМЕНОВАНИЕ ДОХОДА</t>
  </si>
  <si>
    <t xml:space="preserve">  бюджеты муниципальных районов</t>
  </si>
  <si>
    <t>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</si>
  <si>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</si>
  <si>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межселенных территориях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</si>
  <si>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</si>
  <si>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</si>
  <si>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мобилизуемый на территориях муниципальных районов</t>
  </si>
  <si>
    <t xml:space="preserve">ПРОЧИЕ ДОХОДЫ ОТ ОКАЗАНИЯ ПЛАТНЫХ УСЛУГ (РАБОТ) ПОЛУЧАТЕЛЯМИ СРЕДСТВ БЮДЖЕТОВ МУНИЦПАЛЬНЫХ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</si>
  <si>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</si>
  <si>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В ЧАСТИ ШТРАФОВ, САНКЦИЙ, ВОЗМЕЩЕНИЯ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</si>
  <si>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</si>
  <si>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</si>
  <si>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</si>
  <si>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В ЧАСТИ ПРОЧИХ НЕНАЛОГОВЫХ ДОХОДОВ</t>
  </si>
  <si>
    <t>Невыясненные поступления, зачисляемые в  бюджеты муниципальных районов</t>
  </si>
  <si>
    <t>Прочие  неналоговые   доходы   бюджетов муниципальных районов</t>
  </si>
  <si>
    <t xml:space="preserve">                                                                                              на 2018 год и плановый приод 2019-2020 годов"</t>
  </si>
  <si>
    <t xml:space="preserve">                                                      от "     " ___________ 2017 года № ____</t>
  </si>
  <si>
    <t xml:space="preserve"> МУНИЦИПАЛЬНОГО РАЙОНА НА 2018 ГОД И ПЛАНОВЫЙ ПЕРИОД 2019-2020 ГОДОВ</t>
  </si>
  <si>
    <t xml:space="preserve">                                         Приложение № 1</t>
  </si>
  <si>
    <t xml:space="preserve">                                                                                                                                        Приложение № 2</t>
  </si>
  <si>
    <t xml:space="preserve">                                                      от "     " ___________ 2017 года № ___</t>
  </si>
  <si>
    <t xml:space="preserve">                                                                                                                                        Приложение № 3</t>
  </si>
  <si>
    <t>муниципального района</t>
  </si>
  <si>
    <t>Перечень главных администраторов доходов бюджета на 2017 год и плановый период 2018-2019 годов</t>
  </si>
  <si>
    <t>Код бюджетной классификации</t>
  </si>
  <si>
    <t>Наименование главного администратора доходов бюджета муниципального района</t>
  </si>
  <si>
    <t>главного админист-ратора доходов</t>
  </si>
  <si>
    <t>доходов бюджета муниципального района</t>
  </si>
  <si>
    <t>Финансовое управление администрации муниципального района «Бай-Тайгинский кожуун Республики Тыва»</t>
  </si>
  <si>
    <t>1 16 32000 05 0000 140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</si>
  <si>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</si>
  <si>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</si>
  <si>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</si>
  <si>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</si>
  <si>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2 02 15001 05 0000 151</t>
  </si>
  <si>
    <t>Дотации бюджетам муниципальных районов на выравнивание 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</si>
  <si>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</si>
  <si>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</si>
  <si>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</si>
  <si>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</si>
  <si>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2 02 29999 05 0000 151</t>
  </si>
  <si>
    <t>Прочие субсидии бюджетам муниципальных районов</t>
  </si>
  <si>
    <t>2 02 35250 05 0000 151</t>
  </si>
  <si>
    <t>Субвенции бюджетам муниципальных районов на оплату жилищно-коммунальных услуг отдельным категориям граждан</t>
  </si>
  <si>
    <t>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</si>
  <si>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</si>
  <si>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2 02 30013 05 0000 151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</si>
  <si>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</si>
  <si>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</si>
  <si>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</si>
  <si>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</si>
  <si>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</si>
  <si>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</si>
  <si>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</si>
  <si>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</si>
  <si>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</si>
  <si>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</si>
  <si>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</si>
  <si>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2 02 35380 05 0000 151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</si>
  <si>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</si>
  <si>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2 02 39999 05 0000 151</t>
  </si>
  <si>
    <t>Прочие субвенции бюджетам муниципальных районов</t>
  </si>
  <si>
    <t>2 02 45160 05 0000 151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</si>
  <si>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</si>
  <si>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017</t>
  </si>
  <si>
    <t xml:space="preserve">2 02 40014 05 0000 151 </t>
  </si>
  <si>
    <t>2 02 45144 05 0000 151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</si>
  <si>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</si>
  <si>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2 02 49999 05 0000 151</t>
  </si>
  <si>
    <t>Прочие межбюджетные трансферты, передаваемые бюджетам муниципальных районов</t>
  </si>
  <si>
    <t>2 02 90024 05 0000 151</t>
  </si>
  <si>
    <t>Прочие безвозмездные поступления в бюджеты муниципальных районов от бюджетов субъектов Российской Федерации</t>
  </si>
  <si>
    <t>2 18 60010 05 0000 151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</si>
  <si>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</si>
  <si>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</si>
  <si>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</si>
  <si>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Администрация муниципального района «Бай-Тайгинский кожуун  Республики Тыва»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</si>
  <si>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</si>
  <si>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</si>
  <si>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</si>
  <si>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</si>
  <si>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</si>
  <si>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 компенсации затрат бюджетов муниципальных районов</t>
  </si>
  <si>
    <t>1 14 06013 05 0000 430</t>
  </si>
  <si>
    <t>Доходы от продажи земельных участков, государственная собственность  на которые не разграничена и которые расположены в границах межселенных территорий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</si>
  <si>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</si>
  <si>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</si>
  <si>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                                                Приложение № 4</t>
  </si>
  <si>
    <t xml:space="preserve">                                                                                   Приложение № 5</t>
  </si>
  <si>
    <t xml:space="preserve">                                                                                   Приложение № 6</t>
  </si>
  <si>
    <t xml:space="preserve">                           Приложение № 7</t>
  </si>
  <si>
    <t xml:space="preserve">                           Приложение № 9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</si>
  <si>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</si>
  <si>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</si>
  <si>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</si>
  <si>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</si>
  <si>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Невыясненные поступления, зачисляемые в  бюджеты сельских поселений </t>
  </si>
  <si>
    <t>Прочие  неналоговые   доходы   бюджетов сельских поселений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</si>
  <si>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</si>
  <si>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 поддержку мер по обеспечению сбалансированности бюджетов 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</si>
  <si>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</si>
  <si>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</si>
  <si>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</si>
  <si>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</si>
  <si>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</si>
  <si>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</si>
  <si>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Субвенции бюджетам муниципальных районов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</si>
  <si>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</si>
  <si>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 первичного воинского учета на территориях, где отсутствуют военные комиссариаты</t>
  </si>
  <si>
    <t>Субвенции бюджетам муниципальных районов по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</si>
  <si>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</si>
  <si>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2 02 40000 00 0000 151</t>
  </si>
  <si>
    <t>2 02 40025 02 0000 151</t>
  </si>
  <si>
    <t>от "___" __________ 2017 года №</t>
  </si>
  <si>
    <t>208 05000 05 0000 151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</si>
  <si>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процентов. начисленных на излишне взысканные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</si>
</sst>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#,##0.0"/>
    <numFmt numFmtId="166" formatCode="_(* #,##0.00_);_(* \(#,##0.00\);_(* &quot;-&quot;??_);_(@_)"/>
    <numFmt numFmtId="167" formatCode="0.0"/>
    <numFmt numFmtId="168" formatCode="#,##0.000"/>
  </numFmts>
  <fonts count="38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ourier New"/>
      <family val="3"/>
      <charset val="204"/>
    </font>
    <font>
      <b/>
      <sz val="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A60A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5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2" applyFont="1" applyFill="1"/>
    <xf numFmtId="164" fontId="2" fillId="0" borderId="0" xfId="2" applyNumberFormat="1" applyFont="1" applyFill="1"/>
    <xf numFmtId="0" fontId="3" fillId="0" borderId="0" xfId="2" applyFont="1" applyFill="1"/>
    <xf numFmtId="165" fontId="5" fillId="0" borderId="0" xfId="0" applyNumberFormat="1" applyFont="1" applyFill="1" applyAlignment="1">
      <alignment horizontal="center"/>
    </xf>
    <xf numFmtId="0" fontId="7" fillId="0" borderId="0" xfId="2" applyFont="1" applyFill="1"/>
    <xf numFmtId="0" fontId="6" fillId="0" borderId="0" xfId="2" applyFont="1" applyFill="1"/>
    <xf numFmtId="165" fontId="3" fillId="0" borderId="0" xfId="2" applyNumberFormat="1" applyFont="1" applyFill="1" applyAlignment="1">
      <alignment horizontal="center"/>
    </xf>
    <xf numFmtId="0" fontId="6" fillId="0" borderId="1" xfId="3" applyFont="1" applyBorder="1" applyAlignment="1">
      <alignment horizontal="center" vertical="center" wrapText="1"/>
    </xf>
    <xf numFmtId="0" fontId="8" fillId="0" borderId="0" xfId="2" applyFont="1" applyFill="1"/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3" fillId="0" borderId="0" xfId="0" applyFont="1"/>
    <xf numFmtId="0" fontId="9" fillId="0" borderId="1" xfId="0" applyFont="1" applyFill="1" applyBorder="1" applyAlignment="1">
      <alignment horizontal="justify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1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justify"/>
    </xf>
    <xf numFmtId="0" fontId="11" fillId="0" borderId="1" xfId="4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justify" vertical="top" wrapText="1"/>
    </xf>
    <xf numFmtId="0" fontId="3" fillId="0" borderId="0" xfId="2" applyFont="1" applyFill="1" applyAlignment="1">
      <alignment horizontal="justify"/>
    </xf>
    <xf numFmtId="165" fontId="2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18" fillId="2" borderId="0" xfId="0" applyFont="1" applyFill="1" applyAlignment="1"/>
    <xf numFmtId="0" fontId="3" fillId="2" borderId="0" xfId="0" applyFont="1" applyFill="1"/>
    <xf numFmtId="0" fontId="19" fillId="2" borderId="0" xfId="0" applyFont="1" applyFill="1" applyAlignment="1"/>
    <xf numFmtId="0" fontId="19" fillId="2" borderId="0" xfId="0" applyNumberFormat="1" applyFont="1" applyFill="1" applyBorder="1" applyAlignment="1">
      <alignment horizontal="right" wrapText="1"/>
    </xf>
    <xf numFmtId="0" fontId="18" fillId="2" borderId="0" xfId="0" applyFont="1" applyFill="1"/>
    <xf numFmtId="49" fontId="19" fillId="2" borderId="0" xfId="0" applyNumberFormat="1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/>
    </xf>
    <xf numFmtId="0" fontId="20" fillId="3" borderId="1" xfId="0" applyNumberFormat="1" applyFont="1" applyFill="1" applyBorder="1" applyAlignment="1">
      <alignment vertical="center" wrapText="1"/>
    </xf>
    <xf numFmtId="165" fontId="20" fillId="2" borderId="0" xfId="0" applyNumberFormat="1" applyFont="1" applyFill="1" applyBorder="1" applyAlignment="1">
      <alignment horizontal="center" wrapText="1"/>
    </xf>
    <xf numFmtId="165" fontId="19" fillId="2" borderId="0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165" fontId="19" fillId="2" borderId="1" xfId="0" applyNumberFormat="1" applyFont="1" applyFill="1" applyBorder="1" applyAlignment="1">
      <alignment horizontal="left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4" applyNumberFormat="1" applyFont="1" applyFill="1" applyBorder="1" applyAlignment="1">
      <alignment horizontal="center" wrapText="1"/>
    </xf>
    <xf numFmtId="49" fontId="19" fillId="2" borderId="1" xfId="4" applyNumberFormat="1" applyFont="1" applyFill="1" applyBorder="1" applyAlignment="1">
      <alignment horizontal="center" wrapText="1"/>
    </xf>
    <xf numFmtId="0" fontId="3" fillId="2" borderId="0" xfId="4" applyFont="1" applyFill="1"/>
    <xf numFmtId="0" fontId="19" fillId="2" borderId="1" xfId="4" applyNumberFormat="1" applyFont="1" applyFill="1" applyBorder="1" applyAlignment="1">
      <alignment horizontal="left" vertical="center" wrapText="1"/>
    </xf>
    <xf numFmtId="0" fontId="20" fillId="3" borderId="1" xfId="0" applyNumberFormat="1" applyFont="1" applyFill="1" applyBorder="1" applyAlignment="1">
      <alignment horizontal="center" wrapText="1"/>
    </xf>
    <xf numFmtId="49" fontId="20" fillId="3" borderId="1" xfId="0" applyNumberFormat="1" applyFont="1" applyFill="1" applyBorder="1" applyAlignment="1">
      <alignment horizontal="center" wrapText="1"/>
    </xf>
    <xf numFmtId="3" fontId="19" fillId="2" borderId="1" xfId="4" applyNumberFormat="1" applyFont="1" applyFill="1" applyBorder="1" applyAlignment="1">
      <alignment horizontal="center" wrapText="1"/>
    </xf>
    <xf numFmtId="0" fontId="19" fillId="2" borderId="0" xfId="4" applyFont="1" applyFill="1"/>
    <xf numFmtId="0" fontId="18" fillId="2" borderId="1" xfId="0" applyNumberFormat="1" applyFont="1" applyFill="1" applyBorder="1" applyAlignment="1">
      <alignment horizontal="left" vertical="center" wrapText="1"/>
    </xf>
    <xf numFmtId="0" fontId="21" fillId="2" borderId="0" xfId="4" applyFont="1" applyFill="1"/>
    <xf numFmtId="0" fontId="19" fillId="2" borderId="1" xfId="0" applyFont="1" applyFill="1" applyBorder="1" applyAlignment="1">
      <alignment horizontal="justify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vertical="top" wrapText="1"/>
    </xf>
    <xf numFmtId="0" fontId="22" fillId="2" borderId="0" xfId="4" applyFont="1" applyFill="1"/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6" applyNumberFormat="1" applyFont="1" applyFill="1" applyBorder="1" applyAlignment="1">
      <alignment horizontal="left" vertical="center" wrapText="1"/>
    </xf>
    <xf numFmtId="0" fontId="19" fillId="2" borderId="0" xfId="0" applyFont="1" applyFill="1" applyBorder="1"/>
    <xf numFmtId="0" fontId="3" fillId="2" borderId="0" xfId="0" applyFont="1" applyFill="1" applyBorder="1"/>
    <xf numFmtId="0" fontId="19" fillId="2" borderId="1" xfId="4" applyNumberFormat="1" applyFont="1" applyFill="1" applyBorder="1" applyAlignment="1">
      <alignment horizontal="center" vertical="center" wrapText="1"/>
    </xf>
    <xf numFmtId="0" fontId="23" fillId="2" borderId="0" xfId="4" applyFont="1" applyFill="1"/>
    <xf numFmtId="49" fontId="19" fillId="2" borderId="1" xfId="4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left" vertical="center" wrapText="1"/>
    </xf>
    <xf numFmtId="165" fontId="20" fillId="2" borderId="1" xfId="0" applyNumberFormat="1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7" applyFont="1" applyFill="1" applyBorder="1" applyAlignment="1">
      <alignment horizontal="left" vertical="center" wrapText="1"/>
    </xf>
    <xf numFmtId="49" fontId="19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2" fontId="19" fillId="2" borderId="0" xfId="0" applyNumberFormat="1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center" wrapText="1"/>
    </xf>
    <xf numFmtId="165" fontId="20" fillId="3" borderId="3" xfId="0" applyNumberFormat="1" applyFont="1" applyFill="1" applyBorder="1" applyAlignment="1">
      <alignment horizontal="center" vertical="center" wrapText="1"/>
    </xf>
    <xf numFmtId="165" fontId="20" fillId="2" borderId="3" xfId="0" applyNumberFormat="1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165" fontId="19" fillId="2" borderId="3" xfId="4" applyNumberFormat="1" applyFont="1" applyFill="1" applyBorder="1" applyAlignment="1">
      <alignment horizontal="center" vertical="center" wrapText="1"/>
    </xf>
    <xf numFmtId="165" fontId="20" fillId="3" borderId="3" xfId="0" applyNumberFormat="1" applyFont="1" applyFill="1" applyBorder="1" applyAlignment="1">
      <alignment horizontal="center" wrapText="1"/>
    </xf>
    <xf numFmtId="165" fontId="20" fillId="2" borderId="3" xfId="0" applyNumberFormat="1" applyFont="1" applyFill="1" applyBorder="1" applyAlignment="1">
      <alignment horizontal="center" wrapText="1"/>
    </xf>
    <xf numFmtId="165" fontId="19" fillId="2" borderId="3" xfId="4" applyNumberFormat="1" applyFont="1" applyFill="1" applyBorder="1" applyAlignment="1">
      <alignment horizontal="center" wrapText="1"/>
    </xf>
    <xf numFmtId="165" fontId="19" fillId="2" borderId="3" xfId="0" applyNumberFormat="1" applyFont="1" applyFill="1" applyBorder="1" applyAlignment="1">
      <alignment horizontal="center"/>
    </xf>
    <xf numFmtId="4" fontId="19" fillId="2" borderId="3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center" wrapText="1"/>
    </xf>
    <xf numFmtId="165" fontId="19" fillId="2" borderId="3" xfId="0" applyNumberFormat="1" applyFont="1" applyFill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center" vertical="center"/>
    </xf>
    <xf numFmtId="165" fontId="21" fillId="2" borderId="3" xfId="0" applyNumberFormat="1" applyFont="1" applyFill="1" applyBorder="1" applyAlignment="1">
      <alignment horizontal="center" vertical="center"/>
    </xf>
    <xf numFmtId="165" fontId="20" fillId="3" borderId="3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/>
    <xf numFmtId="16" fontId="3" fillId="2" borderId="0" xfId="0" applyNumberFormat="1" applyFont="1" applyFill="1" applyBorder="1"/>
    <xf numFmtId="0" fontId="3" fillId="2" borderId="0" xfId="4" applyFont="1" applyFill="1" applyBorder="1"/>
    <xf numFmtId="0" fontId="19" fillId="2" borderId="0" xfId="4" applyFont="1" applyFill="1" applyBorder="1"/>
    <xf numFmtId="0" fontId="21" fillId="2" borderId="0" xfId="4" applyFont="1" applyFill="1" applyBorder="1"/>
    <xf numFmtId="0" fontId="22" fillId="2" borderId="0" xfId="4" applyFont="1" applyFill="1" applyBorder="1"/>
    <xf numFmtId="168" fontId="20" fillId="2" borderId="0" xfId="0" applyNumberFormat="1" applyFont="1" applyFill="1" applyBorder="1" applyAlignment="1">
      <alignment horizontal="center" wrapText="1"/>
    </xf>
    <xf numFmtId="168" fontId="19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Border="1"/>
    <xf numFmtId="165" fontId="19" fillId="2" borderId="0" xfId="0" applyNumberFormat="1" applyFont="1" applyFill="1" applyBorder="1"/>
    <xf numFmtId="0" fontId="23" fillId="2" borderId="0" xfId="4" applyFont="1" applyFill="1" applyBorder="1"/>
    <xf numFmtId="167" fontId="19" fillId="2" borderId="0" xfId="0" applyNumberFormat="1" applyFont="1" applyFill="1" applyBorder="1"/>
    <xf numFmtId="0" fontId="19" fillId="2" borderId="4" xfId="0" applyFont="1" applyFill="1" applyBorder="1" applyAlignment="1">
      <alignment horizontal="left"/>
    </xf>
    <xf numFmtId="0" fontId="19" fillId="2" borderId="4" xfId="0" applyFont="1" applyFill="1" applyBorder="1" applyAlignment="1"/>
    <xf numFmtId="0" fontId="19" fillId="2" borderId="4" xfId="0" applyNumberFormat="1" applyFont="1" applyFill="1" applyBorder="1" applyAlignment="1">
      <alignment horizontal="left" wrapText="1"/>
    </xf>
    <xf numFmtId="0" fontId="19" fillId="2" borderId="4" xfId="0" applyNumberFormat="1" applyFont="1" applyFill="1" applyBorder="1" applyAlignment="1">
      <alignment horizontal="right" wrapText="1"/>
    </xf>
    <xf numFmtId="0" fontId="19" fillId="2" borderId="4" xfId="0" applyNumberFormat="1" applyFont="1" applyFill="1" applyBorder="1" applyAlignment="1">
      <alignment horizontal="center" vertical="center" wrapText="1"/>
    </xf>
    <xf numFmtId="165" fontId="2" fillId="2" borderId="4" xfId="2" applyNumberFormat="1" applyFont="1" applyFill="1" applyBorder="1" applyAlignment="1">
      <alignment horizontal="center"/>
    </xf>
    <xf numFmtId="165" fontId="19" fillId="2" borderId="4" xfId="0" applyNumberFormat="1" applyFont="1" applyFill="1" applyBorder="1" applyAlignment="1">
      <alignment horizontal="center" wrapText="1"/>
    </xf>
    <xf numFmtId="165" fontId="19" fillId="2" borderId="4" xfId="0" applyNumberFormat="1" applyFont="1" applyFill="1" applyBorder="1" applyAlignment="1">
      <alignment horizontal="left" wrapText="1"/>
    </xf>
    <xf numFmtId="0" fontId="19" fillId="2" borderId="4" xfId="0" applyFont="1" applyFill="1" applyBorder="1" applyAlignment="1">
      <alignment wrapText="1"/>
    </xf>
    <xf numFmtId="165" fontId="19" fillId="2" borderId="4" xfId="0" applyNumberFormat="1" applyFont="1" applyFill="1" applyBorder="1" applyAlignment="1">
      <alignment horizontal="left"/>
    </xf>
    <xf numFmtId="165" fontId="19" fillId="2" borderId="4" xfId="4" applyNumberFormat="1" applyFont="1" applyFill="1" applyBorder="1" applyAlignment="1">
      <alignment horizont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165" fontId="20" fillId="2" borderId="4" xfId="0" applyNumberFormat="1" applyFont="1" applyFill="1" applyBorder="1" applyAlignment="1">
      <alignment horizontal="center" wrapText="1"/>
    </xf>
    <xf numFmtId="165" fontId="19" fillId="2" borderId="4" xfId="0" applyNumberFormat="1" applyFont="1" applyFill="1" applyBorder="1" applyAlignment="1">
      <alignment horizontal="center"/>
    </xf>
    <xf numFmtId="4" fontId="19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/>
    <xf numFmtId="0" fontId="19" fillId="2" borderId="4" xfId="0" applyFont="1" applyFill="1" applyBorder="1"/>
    <xf numFmtId="0" fontId="19" fillId="2" borderId="4" xfId="6" applyNumberFormat="1" applyFont="1" applyFill="1" applyBorder="1" applyAlignment="1">
      <alignment horizontal="left" vertical="center" wrapText="1"/>
    </xf>
    <xf numFmtId="0" fontId="19" fillId="2" borderId="4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4" fontId="20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165" fontId="24" fillId="0" borderId="1" xfId="7" applyNumberFormat="1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left" vertical="center" wrapText="1"/>
    </xf>
    <xf numFmtId="165" fontId="26" fillId="0" borderId="1" xfId="7" applyNumberFormat="1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left" vertical="center" wrapText="1"/>
    </xf>
    <xf numFmtId="165" fontId="17" fillId="0" borderId="1" xfId="7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left" vertical="center" wrapText="1"/>
    </xf>
    <xf numFmtId="0" fontId="21" fillId="0" borderId="3" xfId="0" applyNumberFormat="1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center" wrapText="1"/>
    </xf>
    <xf numFmtId="4" fontId="17" fillId="0" borderId="1" xfId="0" applyNumberFormat="1" applyFont="1" applyFill="1" applyBorder="1" applyAlignment="1">
      <alignment horizont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wrapText="1"/>
    </xf>
    <xf numFmtId="0" fontId="19" fillId="0" borderId="5" xfId="7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wrapText="1"/>
    </xf>
    <xf numFmtId="0" fontId="29" fillId="0" borderId="1" xfId="0" applyFont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wrapText="1"/>
    </xf>
    <xf numFmtId="16" fontId="17" fillId="0" borderId="1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left" wrapText="1"/>
    </xf>
    <xf numFmtId="49" fontId="20" fillId="2" borderId="1" xfId="4" applyNumberFormat="1" applyFont="1" applyFill="1" applyBorder="1" applyAlignment="1">
      <alignment horizontal="center" wrapText="1"/>
    </xf>
    <xf numFmtId="165" fontId="19" fillId="2" borderId="0" xfId="4" applyNumberFormat="1" applyFont="1" applyFill="1" applyBorder="1"/>
    <xf numFmtId="3" fontId="20" fillId="2" borderId="1" xfId="4" applyNumberFormat="1" applyFont="1" applyFill="1" applyBorder="1" applyAlignment="1">
      <alignment horizontal="center" wrapText="1"/>
    </xf>
    <xf numFmtId="165" fontId="20" fillId="2" borderId="3" xfId="4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 wrapText="1"/>
    </xf>
    <xf numFmtId="165" fontId="20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vertical="center"/>
    </xf>
    <xf numFmtId="0" fontId="19" fillId="2" borderId="1" xfId="4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/>
    </xf>
    <xf numFmtId="49" fontId="21" fillId="2" borderId="1" xfId="4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9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0" fontId="19" fillId="4" borderId="1" xfId="0" applyNumberFormat="1" applyFont="1" applyFill="1" applyBorder="1" applyAlignment="1">
      <alignment horizontal="center" vertical="center" wrapText="1"/>
    </xf>
    <xf numFmtId="165" fontId="20" fillId="5" borderId="4" xfId="0" applyNumberFormat="1" applyFont="1" applyFill="1" applyBorder="1" applyAlignment="1">
      <alignment horizontal="center" vertical="center" wrapText="1"/>
    </xf>
    <xf numFmtId="4" fontId="6" fillId="5" borderId="0" xfId="0" applyNumberFormat="1" applyFont="1" applyFill="1" applyBorder="1" applyAlignment="1">
      <alignment vertical="center"/>
    </xf>
    <xf numFmtId="165" fontId="6" fillId="5" borderId="0" xfId="0" applyNumberFormat="1" applyFont="1" applyFill="1" applyBorder="1" applyAlignment="1">
      <alignment vertical="center"/>
    </xf>
    <xf numFmtId="4" fontId="20" fillId="5" borderId="4" xfId="0" applyNumberFormat="1" applyFont="1" applyFill="1" applyBorder="1" applyAlignment="1">
      <alignment horizontal="center" vertical="center" wrapText="1"/>
    </xf>
    <xf numFmtId="165" fontId="20" fillId="5" borderId="4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vertical="center" wrapText="1"/>
    </xf>
    <xf numFmtId="165" fontId="2" fillId="0" borderId="0" xfId="2" applyNumberFormat="1" applyFont="1" applyFill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/>
    <xf numFmtId="0" fontId="6" fillId="0" borderId="0" xfId="3" applyFont="1" applyAlignment="1">
      <alignment wrapText="1"/>
    </xf>
    <xf numFmtId="0" fontId="6" fillId="0" borderId="0" xfId="3" applyFont="1"/>
    <xf numFmtId="0" fontId="3" fillId="0" borderId="1" xfId="3" applyFont="1" applyBorder="1" applyAlignment="1">
      <alignment horizontal="center"/>
    </xf>
    <xf numFmtId="0" fontId="6" fillId="0" borderId="1" xfId="3" applyFont="1" applyBorder="1"/>
    <xf numFmtId="49" fontId="3" fillId="0" borderId="0" xfId="0" applyNumberFormat="1" applyFont="1" applyFill="1" applyAlignment="1"/>
    <xf numFmtId="0" fontId="3" fillId="0" borderId="0" xfId="0" applyFont="1" applyFill="1" applyAlignment="1"/>
    <xf numFmtId="0" fontId="6" fillId="0" borderId="1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2" fillId="0" borderId="1" xfId="3" applyFont="1" applyBorder="1" applyAlignment="1">
      <alignment horizontal="center"/>
    </xf>
    <xf numFmtId="167" fontId="30" fillId="0" borderId="1" xfId="0" applyNumberFormat="1" applyFont="1" applyBorder="1" applyAlignment="1">
      <alignment horizontal="center"/>
    </xf>
    <xf numFmtId="0" fontId="1" fillId="0" borderId="0" xfId="0" applyFont="1"/>
    <xf numFmtId="0" fontId="7" fillId="0" borderId="1" xfId="3" applyFont="1" applyBorder="1"/>
    <xf numFmtId="167" fontId="31" fillId="0" borderId="1" xfId="0" applyNumberFormat="1" applyFont="1" applyBorder="1" applyAlignment="1">
      <alignment horizontal="center"/>
    </xf>
    <xf numFmtId="0" fontId="3" fillId="0" borderId="0" xfId="6" applyFont="1" applyFill="1" applyAlignment="1"/>
    <xf numFmtId="49" fontId="3" fillId="0" borderId="0" xfId="0" applyNumberFormat="1" applyFont="1" applyFill="1" applyAlignment="1">
      <alignment horizontal="center"/>
    </xf>
    <xf numFmtId="0" fontId="32" fillId="0" borderId="0" xfId="0" applyFont="1" applyAlignment="1"/>
    <xf numFmtId="0" fontId="32" fillId="0" borderId="0" xfId="0" applyFont="1" applyAlignment="1">
      <alignment wrapText="1"/>
    </xf>
    <xf numFmtId="0" fontId="3" fillId="0" borderId="0" xfId="3" applyFont="1" applyAlignment="1">
      <alignment wrapText="1"/>
    </xf>
    <xf numFmtId="0" fontId="32" fillId="0" borderId="1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/>
    </xf>
    <xf numFmtId="165" fontId="5" fillId="0" borderId="1" xfId="3" applyNumberFormat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32" fillId="0" borderId="1" xfId="3" applyFont="1" applyBorder="1"/>
    <xf numFmtId="2" fontId="32" fillId="0" borderId="1" xfId="3" applyNumberFormat="1" applyFont="1" applyBorder="1" applyAlignment="1">
      <alignment horizontal="center"/>
    </xf>
    <xf numFmtId="167" fontId="3" fillId="0" borderId="0" xfId="3" applyNumberFormat="1" applyFont="1" applyAlignment="1">
      <alignment horizontal="center"/>
    </xf>
    <xf numFmtId="0" fontId="32" fillId="0" borderId="15" xfId="3" applyFont="1" applyBorder="1" applyAlignment="1">
      <alignment horizontal="center" vertical="center" wrapText="1"/>
    </xf>
    <xf numFmtId="167" fontId="0" fillId="0" borderId="0" xfId="0" applyNumberFormat="1"/>
    <xf numFmtId="0" fontId="3" fillId="0" borderId="6" xfId="3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1" xfId="3" applyNumberFormat="1" applyFont="1" applyBorder="1" applyAlignment="1"/>
    <xf numFmtId="0" fontId="2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9" fillId="2" borderId="0" xfId="0" applyNumberFormat="1" applyFont="1" applyFill="1" applyBorder="1" applyAlignment="1">
      <alignment horizontal="right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165" fontId="33" fillId="2" borderId="3" xfId="0" applyNumberFormat="1" applyFont="1" applyFill="1" applyBorder="1" applyAlignment="1">
      <alignment horizontal="center" wrapText="1"/>
    </xf>
    <xf numFmtId="165" fontId="33" fillId="2" borderId="0" xfId="0" applyNumberFormat="1" applyFont="1" applyFill="1" applyBorder="1" applyAlignment="1">
      <alignment horizontal="center" wrapText="1"/>
    </xf>
    <xf numFmtId="165" fontId="6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20" fillId="2" borderId="0" xfId="0" applyFont="1" applyFill="1" applyBorder="1"/>
    <xf numFmtId="0" fontId="20" fillId="2" borderId="0" xfId="0" applyFont="1" applyFill="1"/>
    <xf numFmtId="165" fontId="19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/>
    <xf numFmtId="4" fontId="20" fillId="2" borderId="3" xfId="0" applyNumberFormat="1" applyFont="1" applyFill="1" applyBorder="1" applyAlignment="1">
      <alignment horizontal="center" wrapText="1"/>
    </xf>
    <xf numFmtId="4" fontId="20" fillId="2" borderId="0" xfId="0" applyNumberFormat="1" applyFont="1" applyFill="1" applyBorder="1" applyAlignment="1">
      <alignment horizontal="center" wrapText="1"/>
    </xf>
    <xf numFmtId="4" fontId="19" fillId="2" borderId="3" xfId="0" applyNumberFormat="1" applyFont="1" applyFill="1" applyBorder="1" applyAlignment="1">
      <alignment horizontal="center" wrapText="1"/>
    </xf>
    <xf numFmtId="4" fontId="19" fillId="2" borderId="0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vertical="center"/>
    </xf>
    <xf numFmtId="165" fontId="19" fillId="2" borderId="0" xfId="4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19" fillId="2" borderId="0" xfId="0" applyNumberFormat="1" applyFont="1" applyFill="1" applyBorder="1" applyAlignment="1">
      <alignment horizontal="left" vertical="center" wrapText="1"/>
    </xf>
    <xf numFmtId="165" fontId="19" fillId="2" borderId="0" xfId="0" applyNumberFormat="1" applyFont="1" applyFill="1" applyBorder="1" applyAlignment="1">
      <alignment horizontal="left" wrapText="1"/>
    </xf>
    <xf numFmtId="0" fontId="19" fillId="2" borderId="0" xfId="0" applyNumberFormat="1" applyFont="1" applyFill="1" applyBorder="1" applyAlignment="1">
      <alignment vertical="center" wrapText="1"/>
    </xf>
    <xf numFmtId="0" fontId="19" fillId="2" borderId="1" xfId="7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wrapText="1"/>
    </xf>
    <xf numFmtId="165" fontId="19" fillId="2" borderId="0" xfId="0" applyNumberFormat="1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0" fontId="19" fillId="4" borderId="1" xfId="0" applyNumberFormat="1" applyFont="1" applyFill="1" applyBorder="1" applyAlignment="1">
      <alignment vertical="center" wrapText="1"/>
    </xf>
    <xf numFmtId="49" fontId="19" fillId="4" borderId="1" xfId="0" applyNumberFormat="1" applyFont="1" applyFill="1" applyBorder="1" applyAlignment="1">
      <alignment horizontal="center" wrapText="1"/>
    </xf>
    <xf numFmtId="0" fontId="19" fillId="4" borderId="1" xfId="0" applyNumberFormat="1" applyFont="1" applyFill="1" applyBorder="1" applyAlignment="1">
      <alignment horizontal="center" wrapText="1"/>
    </xf>
    <xf numFmtId="165" fontId="19" fillId="4" borderId="3" xfId="0" applyNumberFormat="1" applyFont="1" applyFill="1" applyBorder="1" applyAlignment="1">
      <alignment horizontal="center" wrapText="1"/>
    </xf>
    <xf numFmtId="0" fontId="19" fillId="4" borderId="1" xfId="0" applyNumberFormat="1" applyFont="1" applyFill="1" applyBorder="1" applyAlignment="1">
      <alignment horizontal="left" vertical="center" wrapText="1"/>
    </xf>
    <xf numFmtId="165" fontId="19" fillId="4" borderId="3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wrapText="1"/>
    </xf>
    <xf numFmtId="49" fontId="19" fillId="4" borderId="2" xfId="0" applyNumberFormat="1" applyFont="1" applyFill="1" applyBorder="1" applyAlignment="1">
      <alignment horizontal="center" wrapText="1"/>
    </xf>
    <xf numFmtId="0" fontId="19" fillId="4" borderId="1" xfId="4" applyNumberFormat="1" applyFont="1" applyFill="1" applyBorder="1" applyAlignment="1">
      <alignment horizontal="left" vertical="center" wrapText="1"/>
    </xf>
    <xf numFmtId="49" fontId="19" fillId="4" borderId="1" xfId="4" applyNumberFormat="1" applyFont="1" applyFill="1" applyBorder="1" applyAlignment="1">
      <alignment horizontal="center" wrapText="1"/>
    </xf>
    <xf numFmtId="165" fontId="19" fillId="4" borderId="3" xfId="4" applyNumberFormat="1" applyFont="1" applyFill="1" applyBorder="1" applyAlignment="1">
      <alignment horizontal="center" wrapText="1"/>
    </xf>
    <xf numFmtId="3" fontId="19" fillId="4" borderId="1" xfId="4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justify" vertical="center" wrapText="1"/>
    </xf>
    <xf numFmtId="0" fontId="21" fillId="4" borderId="1" xfId="0" applyFont="1" applyFill="1" applyBorder="1" applyAlignment="1">
      <alignment horizontal="left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165" fontId="21" fillId="4" borderId="3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0" fontId="21" fillId="4" borderId="1" xfId="5" applyFont="1" applyFill="1" applyBorder="1" applyAlignment="1">
      <alignment horizontal="left" vertical="center" wrapText="1"/>
    </xf>
    <xf numFmtId="0" fontId="20" fillId="4" borderId="1" xfId="5" applyFont="1" applyFill="1" applyBorder="1" applyAlignment="1">
      <alignment horizontal="left" vertical="top" wrapText="1"/>
    </xf>
    <xf numFmtId="49" fontId="20" fillId="4" borderId="1" xfId="0" applyNumberFormat="1" applyFont="1" applyFill="1" applyBorder="1" applyAlignment="1">
      <alignment horizontal="center"/>
    </xf>
    <xf numFmtId="0" fontId="20" fillId="4" borderId="1" xfId="0" applyNumberFormat="1" applyFont="1" applyFill="1" applyBorder="1" applyAlignment="1">
      <alignment horizont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165" fontId="20" fillId="4" borderId="3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justify" vertical="center" wrapText="1"/>
    </xf>
    <xf numFmtId="49" fontId="19" fillId="4" borderId="1" xfId="0" applyNumberFormat="1" applyFont="1" applyFill="1" applyBorder="1" applyAlignment="1">
      <alignment horizontal="center" vertical="center"/>
    </xf>
    <xf numFmtId="0" fontId="19" fillId="4" borderId="1" xfId="5" applyFont="1" applyFill="1" applyBorder="1" applyAlignment="1">
      <alignment vertical="top" wrapText="1"/>
    </xf>
    <xf numFmtId="49" fontId="19" fillId="4" borderId="1" xfId="0" applyNumberFormat="1" applyFont="1" applyFill="1" applyBorder="1" applyAlignment="1">
      <alignment horizontal="center"/>
    </xf>
    <xf numFmtId="3" fontId="19" fillId="4" borderId="1" xfId="0" applyNumberFormat="1" applyFont="1" applyFill="1" applyBorder="1" applyAlignment="1">
      <alignment horizontal="center" wrapText="1"/>
    </xf>
    <xf numFmtId="165" fontId="20" fillId="4" borderId="1" xfId="0" applyNumberFormat="1" applyFont="1" applyFill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center" wrapText="1"/>
    </xf>
    <xf numFmtId="165" fontId="20" fillId="4" borderId="3" xfId="0" applyNumberFormat="1" applyFont="1" applyFill="1" applyBorder="1" applyAlignment="1">
      <alignment horizontal="center" wrapText="1"/>
    </xf>
    <xf numFmtId="0" fontId="20" fillId="4" borderId="1" xfId="0" applyNumberFormat="1" applyFont="1" applyFill="1" applyBorder="1" applyAlignment="1">
      <alignment horizontal="left" vertical="center" wrapText="1"/>
    </xf>
    <xf numFmtId="165" fontId="20" fillId="4" borderId="3" xfId="0" applyNumberFormat="1" applyFont="1" applyFill="1" applyBorder="1" applyAlignment="1">
      <alignment horizontal="center"/>
    </xf>
    <xf numFmtId="0" fontId="20" fillId="4" borderId="1" xfId="0" applyNumberFormat="1" applyFont="1" applyFill="1" applyBorder="1" applyAlignment="1">
      <alignment vertical="center" wrapText="1"/>
    </xf>
    <xf numFmtId="0" fontId="20" fillId="4" borderId="1" xfId="0" applyFont="1" applyFill="1" applyBorder="1"/>
    <xf numFmtId="0" fontId="19" fillId="2" borderId="0" xfId="0" applyNumberFormat="1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wrapText="1"/>
    </xf>
    <xf numFmtId="165" fontId="19" fillId="4" borderId="1" xfId="4" applyNumberFormat="1" applyFont="1" applyFill="1" applyBorder="1" applyAlignment="1">
      <alignment horizontal="center" wrapText="1"/>
    </xf>
    <xf numFmtId="165" fontId="19" fillId="2" borderId="1" xfId="0" applyNumberFormat="1" applyFont="1" applyFill="1" applyBorder="1" applyAlignment="1">
      <alignment horizontal="center" wrapText="1"/>
    </xf>
    <xf numFmtId="165" fontId="19" fillId="4" borderId="1" xfId="0" applyNumberFormat="1" applyFont="1" applyFill="1" applyBorder="1" applyAlignment="1">
      <alignment horizontal="center" wrapText="1"/>
    </xf>
    <xf numFmtId="165" fontId="20" fillId="2" borderId="1" xfId="4" applyNumberFormat="1" applyFont="1" applyFill="1" applyBorder="1" applyAlignment="1">
      <alignment horizontal="center" wrapText="1"/>
    </xf>
    <xf numFmtId="165" fontId="20" fillId="3" borderId="1" xfId="0" applyNumberFormat="1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20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5" fontId="19" fillId="2" borderId="1" xfId="4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/>
    <xf numFmtId="165" fontId="17" fillId="0" borderId="0" xfId="0" applyNumberFormat="1" applyFont="1" applyFill="1" applyAlignment="1">
      <alignment wrapText="1"/>
    </xf>
    <xf numFmtId="167" fontId="19" fillId="2" borderId="0" xfId="0" applyNumberFormat="1" applyFont="1" applyFill="1" applyAlignment="1"/>
    <xf numFmtId="167" fontId="20" fillId="2" borderId="1" xfId="0" applyNumberFormat="1" applyFont="1" applyFill="1" applyBorder="1" applyAlignment="1">
      <alignment horizontal="center"/>
    </xf>
    <xf numFmtId="165" fontId="19" fillId="4" borderId="1" xfId="0" applyNumberFormat="1" applyFont="1" applyFill="1" applyBorder="1" applyAlignment="1">
      <alignment horizontal="left" wrapText="1"/>
    </xf>
    <xf numFmtId="0" fontId="18" fillId="4" borderId="1" xfId="0" applyNumberFormat="1" applyFont="1" applyFill="1" applyBorder="1" applyAlignment="1">
      <alignment horizontal="left" vertical="center" wrapText="1"/>
    </xf>
    <xf numFmtId="165" fontId="19" fillId="4" borderId="1" xfId="0" applyNumberFormat="1" applyFont="1" applyFill="1" applyBorder="1" applyAlignment="1">
      <alignment horizontal="left" vertical="center" wrapText="1"/>
    </xf>
    <xf numFmtId="0" fontId="17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65" fontId="6" fillId="0" borderId="1" xfId="3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7" fillId="0" borderId="0" xfId="0" applyFont="1" applyFill="1" applyAlignment="1">
      <alignment horizontal="right"/>
    </xf>
    <xf numFmtId="0" fontId="17" fillId="0" borderId="0" xfId="2" applyFont="1" applyFill="1" applyAlignment="1">
      <alignment horizontal="right"/>
    </xf>
    <xf numFmtId="0" fontId="1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/>
    <xf numFmtId="0" fontId="2" fillId="0" borderId="0" xfId="0" applyFont="1" applyFill="1" applyAlignment="1"/>
    <xf numFmtId="165" fontId="2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6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right"/>
    </xf>
    <xf numFmtId="0" fontId="33" fillId="2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19" fillId="2" borderId="0" xfId="0" applyNumberFormat="1" applyFont="1" applyFill="1" applyBorder="1" applyAlignment="1">
      <alignment horizontal="center" vertical="center" wrapText="1"/>
    </xf>
    <xf numFmtId="0" fontId="3" fillId="0" borderId="0" xfId="8" applyFont="1" applyAlignment="1">
      <alignment horizontal="right"/>
    </xf>
    <xf numFmtId="0" fontId="24" fillId="0" borderId="0" xfId="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9" fillId="0" borderId="5" xfId="7" applyFont="1" applyFill="1" applyBorder="1" applyAlignment="1">
      <alignment horizontal="center" vertical="center" wrapText="1"/>
    </xf>
    <xf numFmtId="0" fontId="19" fillId="0" borderId="8" xfId="7" applyFont="1" applyFill="1" applyBorder="1" applyAlignment="1">
      <alignment horizontal="center" vertical="center" wrapText="1"/>
    </xf>
    <xf numFmtId="0" fontId="19" fillId="0" borderId="6" xfId="7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4" fillId="0" borderId="3" xfId="7" applyFont="1" applyFill="1" applyBorder="1" applyAlignment="1">
      <alignment horizontal="right" vertical="top" wrapText="1"/>
    </xf>
    <xf numFmtId="0" fontId="24" fillId="0" borderId="7" xfId="7" applyFont="1" applyFill="1" applyBorder="1" applyAlignment="1">
      <alignment horizontal="right" vertical="top" wrapText="1"/>
    </xf>
    <xf numFmtId="0" fontId="24" fillId="0" borderId="2" xfId="7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24" fillId="0" borderId="1" xfId="7" applyFont="1" applyFill="1" applyBorder="1" applyAlignment="1">
      <alignment horizontal="center" vertical="center" wrapText="1"/>
    </xf>
    <xf numFmtId="165" fontId="24" fillId="0" borderId="5" xfId="1" applyNumberFormat="1" applyFont="1" applyFill="1" applyBorder="1" applyAlignment="1">
      <alignment horizontal="center" vertical="center" wrapText="1"/>
    </xf>
    <xf numFmtId="165" fontId="24" fillId="0" borderId="6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" fillId="0" borderId="3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165" fontId="2" fillId="0" borderId="3" xfId="3" applyNumberFormat="1" applyFont="1" applyBorder="1" applyAlignment="1">
      <alignment horizontal="center"/>
    </xf>
    <xf numFmtId="165" fontId="2" fillId="0" borderId="2" xfId="3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right"/>
    </xf>
    <xf numFmtId="0" fontId="3" fillId="0" borderId="0" xfId="3" applyFont="1" applyAlignment="1">
      <alignment horizontal="right"/>
    </xf>
    <xf numFmtId="0" fontId="3" fillId="0" borderId="3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center" wrapText="1"/>
    </xf>
    <xf numFmtId="0" fontId="32" fillId="0" borderId="3" xfId="3" applyFont="1" applyBorder="1" applyAlignment="1">
      <alignment horizontal="center"/>
    </xf>
    <xf numFmtId="0" fontId="32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10" xfId="3" applyFont="1" applyBorder="1" applyAlignment="1">
      <alignment horizontal="center" vertical="center" wrapText="1"/>
    </xf>
    <xf numFmtId="0" fontId="32" fillId="0" borderId="11" xfId="3" applyFont="1" applyBorder="1" applyAlignment="1">
      <alignment horizontal="center" vertical="center" wrapText="1"/>
    </xf>
    <xf numFmtId="0" fontId="17" fillId="0" borderId="0" xfId="6" applyFont="1" applyFill="1" applyAlignment="1">
      <alignment horizontal="right"/>
    </xf>
    <xf numFmtId="0" fontId="3" fillId="0" borderId="0" xfId="6" applyFont="1" applyFill="1" applyAlignment="1">
      <alignment horizontal="right"/>
    </xf>
    <xf numFmtId="0" fontId="32" fillId="0" borderId="1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3" applyFont="1" applyBorder="1" applyAlignment="1">
      <alignment horizontal="right"/>
    </xf>
    <xf numFmtId="0" fontId="6" fillId="0" borderId="4" xfId="3" applyFont="1" applyBorder="1" applyAlignment="1">
      <alignment horizontal="center"/>
    </xf>
    <xf numFmtId="0" fontId="6" fillId="0" borderId="12" xfId="3" applyFont="1" applyBorder="1" applyAlignment="1">
      <alignment horizontal="center"/>
    </xf>
  </cellXfs>
  <cellStyles count="9">
    <cellStyle name="Обычный" xfId="0" builtinId="0"/>
    <cellStyle name="Обычный 2" xfId="6"/>
    <cellStyle name="Обычный 3" xfId="4"/>
    <cellStyle name="Обычный_Взаимные Москв 9мес2006" xfId="5"/>
    <cellStyle name="Обычный_Инвестиц.программа на 2005г. для Минфина по новой структк" xfId="7"/>
    <cellStyle name="Обычный_прил.финпом" xfId="8"/>
    <cellStyle name="Обычный_Проект бюджета на 2012,2013,2014гг.кож.Приложения" xfId="3"/>
    <cellStyle name="Обычный_республиканский  2005 г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41"/>
  <sheetViews>
    <sheetView zoomScaleNormal="100" workbookViewId="0">
      <selection sqref="A1:XFD1048576"/>
    </sheetView>
  </sheetViews>
  <sheetFormatPr defaultRowHeight="12.75" x14ac:dyDescent="0.2"/>
  <cols>
    <col min="1" max="1" width="75.140625" style="380" customWidth="1"/>
    <col min="2" max="2" width="14.85546875" style="384" customWidth="1"/>
    <col min="3" max="3" width="16" style="384" customWidth="1"/>
    <col min="4" max="256" width="9.140625" style="25"/>
    <col min="257" max="257" width="75.140625" style="25" customWidth="1"/>
    <col min="258" max="258" width="14.85546875" style="25" customWidth="1"/>
    <col min="259" max="259" width="16" style="25" customWidth="1"/>
    <col min="260" max="512" width="9.140625" style="25"/>
    <col min="513" max="513" width="75.140625" style="25" customWidth="1"/>
    <col min="514" max="514" width="14.85546875" style="25" customWidth="1"/>
    <col min="515" max="515" width="16" style="25" customWidth="1"/>
    <col min="516" max="768" width="9.140625" style="25"/>
    <col min="769" max="769" width="75.140625" style="25" customWidth="1"/>
    <col min="770" max="770" width="14.85546875" style="25" customWidth="1"/>
    <col min="771" max="771" width="16" style="25" customWidth="1"/>
    <col min="772" max="1024" width="9.140625" style="25"/>
    <col min="1025" max="1025" width="75.140625" style="25" customWidth="1"/>
    <col min="1026" max="1026" width="14.85546875" style="25" customWidth="1"/>
    <col min="1027" max="1027" width="16" style="25" customWidth="1"/>
    <col min="1028" max="1280" width="9.140625" style="25"/>
    <col min="1281" max="1281" width="75.140625" style="25" customWidth="1"/>
    <col min="1282" max="1282" width="14.85546875" style="25" customWidth="1"/>
    <col min="1283" max="1283" width="16" style="25" customWidth="1"/>
    <col min="1284" max="1536" width="9.140625" style="25"/>
    <col min="1537" max="1537" width="75.140625" style="25" customWidth="1"/>
    <col min="1538" max="1538" width="14.85546875" style="25" customWidth="1"/>
    <col min="1539" max="1539" width="16" style="25" customWidth="1"/>
    <col min="1540" max="1792" width="9.140625" style="25"/>
    <col min="1793" max="1793" width="75.140625" style="25" customWidth="1"/>
    <col min="1794" max="1794" width="14.85546875" style="25" customWidth="1"/>
    <col min="1795" max="1795" width="16" style="25" customWidth="1"/>
    <col min="1796" max="2048" width="9.140625" style="25"/>
    <col min="2049" max="2049" width="75.140625" style="25" customWidth="1"/>
    <col min="2050" max="2050" width="14.85546875" style="25" customWidth="1"/>
    <col min="2051" max="2051" width="16" style="25" customWidth="1"/>
    <col min="2052" max="2304" width="9.140625" style="25"/>
    <col min="2305" max="2305" width="75.140625" style="25" customWidth="1"/>
    <col min="2306" max="2306" width="14.85546875" style="25" customWidth="1"/>
    <col min="2307" max="2307" width="16" style="25" customWidth="1"/>
    <col min="2308" max="2560" width="9.140625" style="25"/>
    <col min="2561" max="2561" width="75.140625" style="25" customWidth="1"/>
    <col min="2562" max="2562" width="14.85546875" style="25" customWidth="1"/>
    <col min="2563" max="2563" width="16" style="25" customWidth="1"/>
    <col min="2564" max="2816" width="9.140625" style="25"/>
    <col min="2817" max="2817" width="75.140625" style="25" customWidth="1"/>
    <col min="2818" max="2818" width="14.85546875" style="25" customWidth="1"/>
    <col min="2819" max="2819" width="16" style="25" customWidth="1"/>
    <col min="2820" max="3072" width="9.140625" style="25"/>
    <col min="3073" max="3073" width="75.140625" style="25" customWidth="1"/>
    <col min="3074" max="3074" width="14.85546875" style="25" customWidth="1"/>
    <col min="3075" max="3075" width="16" style="25" customWidth="1"/>
    <col min="3076" max="3328" width="9.140625" style="25"/>
    <col min="3329" max="3329" width="75.140625" style="25" customWidth="1"/>
    <col min="3330" max="3330" width="14.85546875" style="25" customWidth="1"/>
    <col min="3331" max="3331" width="16" style="25" customWidth="1"/>
    <col min="3332" max="3584" width="9.140625" style="25"/>
    <col min="3585" max="3585" width="75.140625" style="25" customWidth="1"/>
    <col min="3586" max="3586" width="14.85546875" style="25" customWidth="1"/>
    <col min="3587" max="3587" width="16" style="25" customWidth="1"/>
    <col min="3588" max="3840" width="9.140625" style="25"/>
    <col min="3841" max="3841" width="75.140625" style="25" customWidth="1"/>
    <col min="3842" max="3842" width="14.85546875" style="25" customWidth="1"/>
    <col min="3843" max="3843" width="16" style="25" customWidth="1"/>
    <col min="3844" max="4096" width="9.140625" style="25"/>
    <col min="4097" max="4097" width="75.140625" style="25" customWidth="1"/>
    <col min="4098" max="4098" width="14.85546875" style="25" customWidth="1"/>
    <col min="4099" max="4099" width="16" style="25" customWidth="1"/>
    <col min="4100" max="4352" width="9.140625" style="25"/>
    <col min="4353" max="4353" width="75.140625" style="25" customWidth="1"/>
    <col min="4354" max="4354" width="14.85546875" style="25" customWidth="1"/>
    <col min="4355" max="4355" width="16" style="25" customWidth="1"/>
    <col min="4356" max="4608" width="9.140625" style="25"/>
    <col min="4609" max="4609" width="75.140625" style="25" customWidth="1"/>
    <col min="4610" max="4610" width="14.85546875" style="25" customWidth="1"/>
    <col min="4611" max="4611" width="16" style="25" customWidth="1"/>
    <col min="4612" max="4864" width="9.140625" style="25"/>
    <col min="4865" max="4865" width="75.140625" style="25" customWidth="1"/>
    <col min="4866" max="4866" width="14.85546875" style="25" customWidth="1"/>
    <col min="4867" max="4867" width="16" style="25" customWidth="1"/>
    <col min="4868" max="5120" width="9.140625" style="25"/>
    <col min="5121" max="5121" width="75.140625" style="25" customWidth="1"/>
    <col min="5122" max="5122" width="14.85546875" style="25" customWidth="1"/>
    <col min="5123" max="5123" width="16" style="25" customWidth="1"/>
    <col min="5124" max="5376" width="9.140625" style="25"/>
    <col min="5377" max="5377" width="75.140625" style="25" customWidth="1"/>
    <col min="5378" max="5378" width="14.85546875" style="25" customWidth="1"/>
    <col min="5379" max="5379" width="16" style="25" customWidth="1"/>
    <col min="5380" max="5632" width="9.140625" style="25"/>
    <col min="5633" max="5633" width="75.140625" style="25" customWidth="1"/>
    <col min="5634" max="5634" width="14.85546875" style="25" customWidth="1"/>
    <col min="5635" max="5635" width="16" style="25" customWidth="1"/>
    <col min="5636" max="5888" width="9.140625" style="25"/>
    <col min="5889" max="5889" width="75.140625" style="25" customWidth="1"/>
    <col min="5890" max="5890" width="14.85546875" style="25" customWidth="1"/>
    <col min="5891" max="5891" width="16" style="25" customWidth="1"/>
    <col min="5892" max="6144" width="9.140625" style="25"/>
    <col min="6145" max="6145" width="75.140625" style="25" customWidth="1"/>
    <col min="6146" max="6146" width="14.85546875" style="25" customWidth="1"/>
    <col min="6147" max="6147" width="16" style="25" customWidth="1"/>
    <col min="6148" max="6400" width="9.140625" style="25"/>
    <col min="6401" max="6401" width="75.140625" style="25" customWidth="1"/>
    <col min="6402" max="6402" width="14.85546875" style="25" customWidth="1"/>
    <col min="6403" max="6403" width="16" style="25" customWidth="1"/>
    <col min="6404" max="6656" width="9.140625" style="25"/>
    <col min="6657" max="6657" width="75.140625" style="25" customWidth="1"/>
    <col min="6658" max="6658" width="14.85546875" style="25" customWidth="1"/>
    <col min="6659" max="6659" width="16" style="25" customWidth="1"/>
    <col min="6660" max="6912" width="9.140625" style="25"/>
    <col min="6913" max="6913" width="75.140625" style="25" customWidth="1"/>
    <col min="6914" max="6914" width="14.85546875" style="25" customWidth="1"/>
    <col min="6915" max="6915" width="16" style="25" customWidth="1"/>
    <col min="6916" max="7168" width="9.140625" style="25"/>
    <col min="7169" max="7169" width="75.140625" style="25" customWidth="1"/>
    <col min="7170" max="7170" width="14.85546875" style="25" customWidth="1"/>
    <col min="7171" max="7171" width="16" style="25" customWidth="1"/>
    <col min="7172" max="7424" width="9.140625" style="25"/>
    <col min="7425" max="7425" width="75.140625" style="25" customWidth="1"/>
    <col min="7426" max="7426" width="14.85546875" style="25" customWidth="1"/>
    <col min="7427" max="7427" width="16" style="25" customWidth="1"/>
    <col min="7428" max="7680" width="9.140625" style="25"/>
    <col min="7681" max="7681" width="75.140625" style="25" customWidth="1"/>
    <col min="7682" max="7682" width="14.85546875" style="25" customWidth="1"/>
    <col min="7683" max="7683" width="16" style="25" customWidth="1"/>
    <col min="7684" max="7936" width="9.140625" style="25"/>
    <col min="7937" max="7937" width="75.140625" style="25" customWidth="1"/>
    <col min="7938" max="7938" width="14.85546875" style="25" customWidth="1"/>
    <col min="7939" max="7939" width="16" style="25" customWidth="1"/>
    <col min="7940" max="8192" width="9.140625" style="25"/>
    <col min="8193" max="8193" width="75.140625" style="25" customWidth="1"/>
    <col min="8194" max="8194" width="14.85546875" style="25" customWidth="1"/>
    <col min="8195" max="8195" width="16" style="25" customWidth="1"/>
    <col min="8196" max="8448" width="9.140625" style="25"/>
    <col min="8449" max="8449" width="75.140625" style="25" customWidth="1"/>
    <col min="8450" max="8450" width="14.85546875" style="25" customWidth="1"/>
    <col min="8451" max="8451" width="16" style="25" customWidth="1"/>
    <col min="8452" max="8704" width="9.140625" style="25"/>
    <col min="8705" max="8705" width="75.140625" style="25" customWidth="1"/>
    <col min="8706" max="8706" width="14.85546875" style="25" customWidth="1"/>
    <col min="8707" max="8707" width="16" style="25" customWidth="1"/>
    <col min="8708" max="8960" width="9.140625" style="25"/>
    <col min="8961" max="8961" width="75.140625" style="25" customWidth="1"/>
    <col min="8962" max="8962" width="14.85546875" style="25" customWidth="1"/>
    <col min="8963" max="8963" width="16" style="25" customWidth="1"/>
    <col min="8964" max="9216" width="9.140625" style="25"/>
    <col min="9217" max="9217" width="75.140625" style="25" customWidth="1"/>
    <col min="9218" max="9218" width="14.85546875" style="25" customWidth="1"/>
    <col min="9219" max="9219" width="16" style="25" customWidth="1"/>
    <col min="9220" max="9472" width="9.140625" style="25"/>
    <col min="9473" max="9473" width="75.140625" style="25" customWidth="1"/>
    <col min="9474" max="9474" width="14.85546875" style="25" customWidth="1"/>
    <col min="9475" max="9475" width="16" style="25" customWidth="1"/>
    <col min="9476" max="9728" width="9.140625" style="25"/>
    <col min="9729" max="9729" width="75.140625" style="25" customWidth="1"/>
    <col min="9730" max="9730" width="14.85546875" style="25" customWidth="1"/>
    <col min="9731" max="9731" width="16" style="25" customWidth="1"/>
    <col min="9732" max="9984" width="9.140625" style="25"/>
    <col min="9985" max="9985" width="75.140625" style="25" customWidth="1"/>
    <col min="9986" max="9986" width="14.85546875" style="25" customWidth="1"/>
    <col min="9987" max="9987" width="16" style="25" customWidth="1"/>
    <col min="9988" max="10240" width="9.140625" style="25"/>
    <col min="10241" max="10241" width="75.140625" style="25" customWidth="1"/>
    <col min="10242" max="10242" width="14.85546875" style="25" customWidth="1"/>
    <col min="10243" max="10243" width="16" style="25" customWidth="1"/>
    <col min="10244" max="10496" width="9.140625" style="25"/>
    <col min="10497" max="10497" width="75.140625" style="25" customWidth="1"/>
    <col min="10498" max="10498" width="14.85546875" style="25" customWidth="1"/>
    <col min="10499" max="10499" width="16" style="25" customWidth="1"/>
    <col min="10500" max="10752" width="9.140625" style="25"/>
    <col min="10753" max="10753" width="75.140625" style="25" customWidth="1"/>
    <col min="10754" max="10754" width="14.85546875" style="25" customWidth="1"/>
    <col min="10755" max="10755" width="16" style="25" customWidth="1"/>
    <col min="10756" max="11008" width="9.140625" style="25"/>
    <col min="11009" max="11009" width="75.140625" style="25" customWidth="1"/>
    <col min="11010" max="11010" width="14.85546875" style="25" customWidth="1"/>
    <col min="11011" max="11011" width="16" style="25" customWidth="1"/>
    <col min="11012" max="11264" width="9.140625" style="25"/>
    <col min="11265" max="11265" width="75.140625" style="25" customWidth="1"/>
    <col min="11266" max="11266" width="14.85546875" style="25" customWidth="1"/>
    <col min="11267" max="11267" width="16" style="25" customWidth="1"/>
    <col min="11268" max="11520" width="9.140625" style="25"/>
    <col min="11521" max="11521" width="75.140625" style="25" customWidth="1"/>
    <col min="11522" max="11522" width="14.85546875" style="25" customWidth="1"/>
    <col min="11523" max="11523" width="16" style="25" customWidth="1"/>
    <col min="11524" max="11776" width="9.140625" style="25"/>
    <col min="11777" max="11777" width="75.140625" style="25" customWidth="1"/>
    <col min="11778" max="11778" width="14.85546875" style="25" customWidth="1"/>
    <col min="11779" max="11779" width="16" style="25" customWidth="1"/>
    <col min="11780" max="12032" width="9.140625" style="25"/>
    <col min="12033" max="12033" width="75.140625" style="25" customWidth="1"/>
    <col min="12034" max="12034" width="14.85546875" style="25" customWidth="1"/>
    <col min="12035" max="12035" width="16" style="25" customWidth="1"/>
    <col min="12036" max="12288" width="9.140625" style="25"/>
    <col min="12289" max="12289" width="75.140625" style="25" customWidth="1"/>
    <col min="12290" max="12290" width="14.85546875" style="25" customWidth="1"/>
    <col min="12291" max="12291" width="16" style="25" customWidth="1"/>
    <col min="12292" max="12544" width="9.140625" style="25"/>
    <col min="12545" max="12545" width="75.140625" style="25" customWidth="1"/>
    <col min="12546" max="12546" width="14.85546875" style="25" customWidth="1"/>
    <col min="12547" max="12547" width="16" style="25" customWidth="1"/>
    <col min="12548" max="12800" width="9.140625" style="25"/>
    <col min="12801" max="12801" width="75.140625" style="25" customWidth="1"/>
    <col min="12802" max="12802" width="14.85546875" style="25" customWidth="1"/>
    <col min="12803" max="12803" width="16" style="25" customWidth="1"/>
    <col min="12804" max="13056" width="9.140625" style="25"/>
    <col min="13057" max="13057" width="75.140625" style="25" customWidth="1"/>
    <col min="13058" max="13058" width="14.85546875" style="25" customWidth="1"/>
    <col min="13059" max="13059" width="16" style="25" customWidth="1"/>
    <col min="13060" max="13312" width="9.140625" style="25"/>
    <col min="13313" max="13313" width="75.140625" style="25" customWidth="1"/>
    <col min="13314" max="13314" width="14.85546875" style="25" customWidth="1"/>
    <col min="13315" max="13315" width="16" style="25" customWidth="1"/>
    <col min="13316" max="13568" width="9.140625" style="25"/>
    <col min="13569" max="13569" width="75.140625" style="25" customWidth="1"/>
    <col min="13570" max="13570" width="14.85546875" style="25" customWidth="1"/>
    <col min="13571" max="13571" width="16" style="25" customWidth="1"/>
    <col min="13572" max="13824" width="9.140625" style="25"/>
    <col min="13825" max="13825" width="75.140625" style="25" customWidth="1"/>
    <col min="13826" max="13826" width="14.85546875" style="25" customWidth="1"/>
    <col min="13827" max="13827" width="16" style="25" customWidth="1"/>
    <col min="13828" max="14080" width="9.140625" style="25"/>
    <col min="14081" max="14081" width="75.140625" style="25" customWidth="1"/>
    <col min="14082" max="14082" width="14.85546875" style="25" customWidth="1"/>
    <col min="14083" max="14083" width="16" style="25" customWidth="1"/>
    <col min="14084" max="14336" width="9.140625" style="25"/>
    <col min="14337" max="14337" width="75.140625" style="25" customWidth="1"/>
    <col min="14338" max="14338" width="14.85546875" style="25" customWidth="1"/>
    <col min="14339" max="14339" width="16" style="25" customWidth="1"/>
    <col min="14340" max="14592" width="9.140625" style="25"/>
    <col min="14593" max="14593" width="75.140625" style="25" customWidth="1"/>
    <col min="14594" max="14594" width="14.85546875" style="25" customWidth="1"/>
    <col min="14595" max="14595" width="16" style="25" customWidth="1"/>
    <col min="14596" max="14848" width="9.140625" style="25"/>
    <col min="14849" max="14849" width="75.140625" style="25" customWidth="1"/>
    <col min="14850" max="14850" width="14.85546875" style="25" customWidth="1"/>
    <col min="14851" max="14851" width="16" style="25" customWidth="1"/>
    <col min="14852" max="15104" width="9.140625" style="25"/>
    <col min="15105" max="15105" width="75.140625" style="25" customWidth="1"/>
    <col min="15106" max="15106" width="14.85546875" style="25" customWidth="1"/>
    <col min="15107" max="15107" width="16" style="25" customWidth="1"/>
    <col min="15108" max="15360" width="9.140625" style="25"/>
    <col min="15361" max="15361" width="75.140625" style="25" customWidth="1"/>
    <col min="15362" max="15362" width="14.85546875" style="25" customWidth="1"/>
    <col min="15363" max="15363" width="16" style="25" customWidth="1"/>
    <col min="15364" max="15616" width="9.140625" style="25"/>
    <col min="15617" max="15617" width="75.140625" style="25" customWidth="1"/>
    <col min="15618" max="15618" width="14.85546875" style="25" customWidth="1"/>
    <col min="15619" max="15619" width="16" style="25" customWidth="1"/>
    <col min="15620" max="15872" width="9.140625" style="25"/>
    <col min="15873" max="15873" width="75.140625" style="25" customWidth="1"/>
    <col min="15874" max="15874" width="14.85546875" style="25" customWidth="1"/>
    <col min="15875" max="15875" width="16" style="25" customWidth="1"/>
    <col min="15876" max="16128" width="9.140625" style="25"/>
    <col min="16129" max="16129" width="75.140625" style="25" customWidth="1"/>
    <col min="16130" max="16130" width="14.85546875" style="25" customWidth="1"/>
    <col min="16131" max="16131" width="16" style="25" customWidth="1"/>
    <col min="16132" max="16384" width="9.140625" style="25"/>
  </cols>
  <sheetData>
    <row r="1" spans="1:8" x14ac:dyDescent="0.2">
      <c r="A1" s="436" t="s">
        <v>703</v>
      </c>
      <c r="B1" s="436"/>
      <c r="C1" s="436"/>
    </row>
    <row r="2" spans="1:8" x14ac:dyDescent="0.2">
      <c r="A2" s="436" t="s">
        <v>0</v>
      </c>
      <c r="B2" s="436"/>
      <c r="C2" s="436"/>
    </row>
    <row r="3" spans="1:8" x14ac:dyDescent="0.2">
      <c r="A3" s="436" t="s">
        <v>1</v>
      </c>
      <c r="B3" s="436"/>
      <c r="C3" s="436"/>
    </row>
    <row r="4" spans="1:8" x14ac:dyDescent="0.2">
      <c r="A4" s="436" t="s">
        <v>2</v>
      </c>
      <c r="B4" s="436"/>
      <c r="C4" s="436"/>
    </row>
    <row r="5" spans="1:8" x14ac:dyDescent="0.2">
      <c r="A5" s="436" t="s">
        <v>701</v>
      </c>
      <c r="B5" s="436"/>
      <c r="C5" s="436"/>
    </row>
    <row r="6" spans="1:8" x14ac:dyDescent="0.2">
      <c r="A6" s="436" t="s">
        <v>3</v>
      </c>
      <c r="B6" s="436"/>
      <c r="C6" s="436"/>
    </row>
    <row r="7" spans="1:8" x14ac:dyDescent="0.2">
      <c r="A7" s="436" t="s">
        <v>4</v>
      </c>
      <c r="B7" s="436"/>
      <c r="C7" s="436"/>
    </row>
    <row r="8" spans="1:8" x14ac:dyDescent="0.2">
      <c r="A8" s="436" t="s">
        <v>700</v>
      </c>
      <c r="B8" s="436"/>
      <c r="C8" s="436"/>
    </row>
    <row r="9" spans="1:8" x14ac:dyDescent="0.2">
      <c r="B9" s="437"/>
      <c r="C9" s="437"/>
      <c r="D9" s="381"/>
      <c r="E9" s="381"/>
      <c r="F9" s="381"/>
      <c r="G9" s="381"/>
      <c r="H9" s="381"/>
    </row>
    <row r="10" spans="1:8" ht="15" x14ac:dyDescent="0.25">
      <c r="A10" s="438" t="s">
        <v>681</v>
      </c>
      <c r="B10" s="438"/>
      <c r="C10" s="438"/>
      <c r="D10" s="382"/>
      <c r="H10" s="383"/>
    </row>
    <row r="11" spans="1:8" ht="15" x14ac:dyDescent="0.25">
      <c r="A11" s="438" t="s">
        <v>702</v>
      </c>
      <c r="B11" s="438"/>
      <c r="C11" s="438"/>
      <c r="D11" s="382"/>
      <c r="E11" s="384"/>
      <c r="H11" s="383"/>
    </row>
    <row r="12" spans="1:8" ht="11.25" customHeight="1" x14ac:dyDescent="0.2">
      <c r="B12" s="435" t="s">
        <v>682</v>
      </c>
      <c r="C12" s="435"/>
      <c r="D12" s="385"/>
      <c r="E12" s="385"/>
    </row>
    <row r="13" spans="1:8" ht="75" customHeight="1" x14ac:dyDescent="0.2">
      <c r="A13" s="386" t="s">
        <v>683</v>
      </c>
      <c r="B13" s="387" t="s">
        <v>684</v>
      </c>
      <c r="C13" s="387" t="s">
        <v>685</v>
      </c>
    </row>
    <row r="14" spans="1:8" ht="37.5" customHeight="1" x14ac:dyDescent="0.25">
      <c r="A14" s="388" t="s">
        <v>686</v>
      </c>
      <c r="B14" s="389"/>
      <c r="C14" s="390"/>
      <c r="D14" s="383"/>
      <c r="E14" s="383"/>
      <c r="F14" s="383"/>
      <c r="G14" s="383"/>
    </row>
    <row r="15" spans="1:8" ht="27.75" customHeight="1" x14ac:dyDescent="0.25">
      <c r="A15" s="391" t="s">
        <v>687</v>
      </c>
      <c r="B15" s="392">
        <v>100</v>
      </c>
      <c r="C15" s="392"/>
      <c r="D15" s="383"/>
      <c r="E15" s="383"/>
      <c r="F15" s="383"/>
      <c r="G15" s="383"/>
    </row>
    <row r="16" spans="1:8" ht="33" customHeight="1" x14ac:dyDescent="0.25">
      <c r="A16" s="391" t="s">
        <v>688</v>
      </c>
      <c r="B16" s="392">
        <v>60</v>
      </c>
      <c r="C16" s="393"/>
      <c r="D16" s="383"/>
      <c r="E16" s="383"/>
      <c r="F16" s="383"/>
      <c r="G16" s="383"/>
    </row>
    <row r="17" spans="1:7" ht="36" x14ac:dyDescent="0.25">
      <c r="A17" s="394" t="s">
        <v>689</v>
      </c>
      <c r="B17" s="392">
        <v>100</v>
      </c>
      <c r="C17" s="392"/>
      <c r="D17" s="383"/>
      <c r="E17" s="383"/>
      <c r="F17" s="383"/>
      <c r="G17" s="383"/>
    </row>
    <row r="18" spans="1:7" ht="43.5" customHeight="1" x14ac:dyDescent="0.25">
      <c r="A18" s="199" t="s">
        <v>690</v>
      </c>
      <c r="B18" s="392">
        <v>100</v>
      </c>
      <c r="C18" s="392"/>
      <c r="D18" s="383"/>
      <c r="E18" s="383"/>
      <c r="F18" s="383"/>
      <c r="G18" s="383"/>
    </row>
    <row r="19" spans="1:7" ht="22.5" customHeight="1" x14ac:dyDescent="0.25">
      <c r="A19" s="396" t="s">
        <v>691</v>
      </c>
      <c r="B19" s="389"/>
      <c r="C19" s="389"/>
      <c r="D19" s="383"/>
      <c r="E19" s="383"/>
      <c r="F19" s="383"/>
      <c r="G19" s="383"/>
    </row>
    <row r="20" spans="1:7" ht="36.75" customHeight="1" x14ac:dyDescent="0.25">
      <c r="A20" s="395" t="s">
        <v>692</v>
      </c>
      <c r="B20" s="389">
        <v>100</v>
      </c>
      <c r="C20" s="389"/>
      <c r="D20" s="383"/>
      <c r="E20" s="383"/>
      <c r="F20" s="383"/>
      <c r="G20" s="383"/>
    </row>
    <row r="21" spans="1:7" ht="24.75" x14ac:dyDescent="0.25">
      <c r="A21" s="395" t="s">
        <v>777</v>
      </c>
      <c r="B21" s="389"/>
      <c r="C21" s="389">
        <v>100</v>
      </c>
      <c r="D21" s="383"/>
      <c r="E21" s="383"/>
      <c r="F21" s="383"/>
      <c r="G21" s="383"/>
    </row>
    <row r="22" spans="1:7" ht="15" x14ac:dyDescent="0.25">
      <c r="A22" s="395" t="s">
        <v>48</v>
      </c>
      <c r="B22" s="389">
        <v>100</v>
      </c>
      <c r="C22" s="389"/>
      <c r="D22" s="383"/>
      <c r="E22" s="383"/>
      <c r="F22" s="383"/>
      <c r="G22" s="383"/>
    </row>
    <row r="23" spans="1:7" ht="15" x14ac:dyDescent="0.25">
      <c r="A23" s="395" t="s">
        <v>778</v>
      </c>
      <c r="B23" s="389"/>
      <c r="C23" s="389">
        <v>100</v>
      </c>
      <c r="D23" s="383"/>
      <c r="E23" s="383"/>
      <c r="F23" s="383"/>
      <c r="G23" s="383"/>
    </row>
    <row r="24" spans="1:7" ht="15" x14ac:dyDescent="0.25">
      <c r="A24" s="396" t="s">
        <v>693</v>
      </c>
      <c r="B24" s="389"/>
      <c r="C24" s="389"/>
      <c r="D24" s="383"/>
      <c r="E24" s="383"/>
      <c r="F24" s="383"/>
      <c r="G24" s="383"/>
    </row>
    <row r="25" spans="1:7" ht="36.75" x14ac:dyDescent="0.25">
      <c r="A25" s="395" t="s">
        <v>694</v>
      </c>
      <c r="B25" s="389">
        <v>100</v>
      </c>
      <c r="C25" s="389"/>
      <c r="D25" s="383"/>
      <c r="E25" s="383"/>
      <c r="F25" s="383"/>
      <c r="G25" s="383"/>
    </row>
    <row r="26" spans="1:7" ht="41.25" customHeight="1" x14ac:dyDescent="0.25">
      <c r="A26" s="395" t="s">
        <v>779</v>
      </c>
      <c r="B26" s="389"/>
      <c r="C26" s="389">
        <v>100</v>
      </c>
      <c r="D26" s="383"/>
      <c r="E26" s="383"/>
      <c r="F26" s="383"/>
      <c r="G26" s="383"/>
    </row>
    <row r="27" spans="1:7" ht="42" customHeight="1" x14ac:dyDescent="0.25">
      <c r="A27" s="395" t="s">
        <v>695</v>
      </c>
      <c r="B27" s="389">
        <v>100</v>
      </c>
      <c r="C27" s="389"/>
      <c r="D27" s="383"/>
      <c r="E27" s="383"/>
      <c r="F27" s="383"/>
      <c r="G27" s="383"/>
    </row>
    <row r="28" spans="1:7" ht="26.25" customHeight="1" x14ac:dyDescent="0.25">
      <c r="A28" s="395" t="s">
        <v>780</v>
      </c>
      <c r="B28" s="389"/>
      <c r="C28" s="389">
        <v>100</v>
      </c>
      <c r="D28" s="383"/>
      <c r="E28" s="383"/>
      <c r="F28" s="383"/>
      <c r="G28" s="383"/>
    </row>
    <row r="29" spans="1:7" ht="27.75" customHeight="1" x14ac:dyDescent="0.25">
      <c r="A29" s="391" t="s">
        <v>696</v>
      </c>
      <c r="B29" s="398">
        <v>100</v>
      </c>
      <c r="C29" s="389"/>
      <c r="D29" s="383"/>
      <c r="E29" s="383"/>
      <c r="F29" s="383"/>
      <c r="G29" s="383"/>
    </row>
    <row r="30" spans="1:7" ht="29.25" customHeight="1" x14ac:dyDescent="0.25">
      <c r="A30" s="397" t="s">
        <v>697</v>
      </c>
      <c r="B30" s="389"/>
      <c r="C30" s="389"/>
      <c r="D30" s="383"/>
      <c r="E30" s="383"/>
      <c r="F30" s="383"/>
      <c r="G30" s="383"/>
    </row>
    <row r="31" spans="1:7" ht="15" x14ac:dyDescent="0.25">
      <c r="A31" s="394" t="s">
        <v>698</v>
      </c>
      <c r="B31" s="389">
        <v>100</v>
      </c>
      <c r="C31" s="389"/>
      <c r="D31" s="383"/>
      <c r="E31" s="383"/>
      <c r="F31" s="383"/>
      <c r="G31" s="383"/>
    </row>
    <row r="32" spans="1:7" ht="15" x14ac:dyDescent="0.25">
      <c r="A32" s="394" t="s">
        <v>781</v>
      </c>
      <c r="B32" s="389"/>
      <c r="C32" s="389">
        <v>100</v>
      </c>
      <c r="D32" s="383"/>
      <c r="E32" s="383"/>
      <c r="F32" s="383"/>
      <c r="G32" s="383"/>
    </row>
    <row r="33" spans="1:7" ht="15" x14ac:dyDescent="0.25">
      <c r="A33" s="394" t="s">
        <v>699</v>
      </c>
      <c r="B33" s="389">
        <v>100</v>
      </c>
      <c r="C33" s="389"/>
      <c r="D33" s="383"/>
      <c r="E33" s="383"/>
      <c r="F33" s="383"/>
      <c r="G33" s="383"/>
    </row>
    <row r="34" spans="1:7" ht="15" x14ac:dyDescent="0.25">
      <c r="A34" s="394" t="s">
        <v>782</v>
      </c>
      <c r="B34" s="389"/>
      <c r="C34" s="389">
        <v>100</v>
      </c>
      <c r="D34" s="383"/>
      <c r="E34" s="383"/>
      <c r="F34" s="383"/>
      <c r="G34" s="383"/>
    </row>
    <row r="35" spans="1:7" ht="15" x14ac:dyDescent="0.25">
      <c r="A35" s="399"/>
      <c r="B35" s="400"/>
      <c r="C35" s="400"/>
      <c r="D35" s="383"/>
      <c r="E35" s="383"/>
      <c r="F35" s="383"/>
      <c r="G35" s="383"/>
    </row>
    <row r="36" spans="1:7" ht="15" x14ac:dyDescent="0.25">
      <c r="A36" s="399"/>
      <c r="B36" s="401"/>
      <c r="C36" s="401"/>
      <c r="D36" s="383"/>
      <c r="E36" s="383"/>
      <c r="F36" s="383"/>
      <c r="G36" s="383"/>
    </row>
    <row r="37" spans="1:7" ht="15" x14ac:dyDescent="0.25">
      <c r="A37" s="399"/>
      <c r="B37" s="401"/>
      <c r="C37" s="401"/>
      <c r="D37" s="383"/>
      <c r="E37" s="383"/>
      <c r="F37" s="383"/>
      <c r="G37" s="383"/>
    </row>
    <row r="38" spans="1:7" ht="15" x14ac:dyDescent="0.25">
      <c r="A38" s="399"/>
      <c r="B38" s="401"/>
      <c r="C38" s="401"/>
      <c r="D38" s="383"/>
      <c r="E38" s="383"/>
      <c r="F38" s="383"/>
      <c r="G38" s="383"/>
    </row>
    <row r="39" spans="1:7" ht="15" x14ac:dyDescent="0.25">
      <c r="A39" s="402"/>
      <c r="B39" s="401"/>
      <c r="C39" s="401"/>
      <c r="D39" s="383"/>
      <c r="E39" s="383"/>
      <c r="F39" s="383"/>
      <c r="G39" s="383"/>
    </row>
    <row r="40" spans="1:7" ht="15" x14ac:dyDescent="0.25">
      <c r="A40" s="402"/>
      <c r="B40" s="401"/>
      <c r="C40" s="401"/>
      <c r="D40" s="383"/>
      <c r="E40" s="383"/>
      <c r="F40" s="383"/>
      <c r="G40" s="383"/>
    </row>
    <row r="41" spans="1:7" ht="15" x14ac:dyDescent="0.25">
      <c r="A41" s="402"/>
      <c r="B41" s="401"/>
      <c r="C41" s="401"/>
      <c r="D41" s="383"/>
      <c r="E41" s="383"/>
      <c r="F41" s="383"/>
      <c r="G41" s="383"/>
    </row>
    <row r="42" spans="1:7" ht="15" x14ac:dyDescent="0.25">
      <c r="B42" s="401"/>
      <c r="C42" s="401"/>
      <c r="D42" s="383"/>
      <c r="E42" s="383"/>
      <c r="F42" s="383"/>
      <c r="G42" s="383"/>
    </row>
    <row r="43" spans="1:7" ht="15" x14ac:dyDescent="0.25">
      <c r="B43" s="401"/>
      <c r="C43" s="401"/>
      <c r="D43" s="383"/>
      <c r="E43" s="383"/>
      <c r="F43" s="383"/>
      <c r="G43" s="383"/>
    </row>
    <row r="44" spans="1:7" ht="15" x14ac:dyDescent="0.25">
      <c r="B44" s="401"/>
      <c r="C44" s="401"/>
      <c r="D44" s="383"/>
      <c r="E44" s="383"/>
      <c r="F44" s="383"/>
      <c r="G44" s="383"/>
    </row>
    <row r="45" spans="1:7" ht="15" x14ac:dyDescent="0.25">
      <c r="B45" s="401"/>
      <c r="C45" s="401"/>
      <c r="D45" s="383"/>
      <c r="E45" s="383"/>
      <c r="F45" s="383"/>
      <c r="G45" s="383"/>
    </row>
    <row r="46" spans="1:7" ht="15" x14ac:dyDescent="0.25">
      <c r="B46" s="401"/>
      <c r="C46" s="401"/>
      <c r="D46" s="383"/>
      <c r="E46" s="383"/>
      <c r="F46" s="383"/>
      <c r="G46" s="383"/>
    </row>
    <row r="47" spans="1:7" ht="15" x14ac:dyDescent="0.25">
      <c r="B47" s="401"/>
      <c r="C47" s="401"/>
      <c r="D47" s="383"/>
      <c r="E47" s="383"/>
      <c r="F47" s="383"/>
      <c r="G47" s="383"/>
    </row>
    <row r="48" spans="1:7" ht="15" x14ac:dyDescent="0.25">
      <c r="B48" s="401"/>
      <c r="C48" s="401"/>
      <c r="D48" s="383"/>
      <c r="E48" s="383"/>
      <c r="F48" s="383"/>
      <c r="G48" s="383"/>
    </row>
    <row r="49" spans="2:7" ht="15" x14ac:dyDescent="0.25">
      <c r="B49" s="401"/>
      <c r="C49" s="401"/>
      <c r="D49" s="383"/>
      <c r="E49" s="383"/>
      <c r="F49" s="383"/>
      <c r="G49" s="383"/>
    </row>
    <row r="50" spans="2:7" ht="15" x14ac:dyDescent="0.25">
      <c r="B50" s="401"/>
      <c r="C50" s="401"/>
      <c r="D50" s="383"/>
      <c r="E50" s="383"/>
      <c r="F50" s="383"/>
      <c r="G50" s="383"/>
    </row>
    <row r="51" spans="2:7" ht="15" x14ac:dyDescent="0.25">
      <c r="B51" s="401"/>
      <c r="C51" s="401"/>
      <c r="D51" s="383"/>
      <c r="E51" s="383"/>
      <c r="F51" s="383"/>
      <c r="G51" s="383"/>
    </row>
    <row r="52" spans="2:7" ht="15" x14ac:dyDescent="0.25">
      <c r="B52" s="401"/>
      <c r="C52" s="401"/>
      <c r="D52" s="383"/>
      <c r="E52" s="383"/>
      <c r="F52" s="383"/>
      <c r="G52" s="383"/>
    </row>
    <row r="53" spans="2:7" ht="15" x14ac:dyDescent="0.25">
      <c r="B53" s="401"/>
      <c r="C53" s="401"/>
      <c r="D53" s="383"/>
      <c r="E53" s="383"/>
      <c r="F53" s="383"/>
      <c r="G53" s="383"/>
    </row>
    <row r="54" spans="2:7" ht="15" x14ac:dyDescent="0.25">
      <c r="B54" s="401"/>
      <c r="C54" s="401"/>
      <c r="D54" s="383"/>
      <c r="E54" s="383"/>
      <c r="F54" s="383"/>
      <c r="G54" s="383"/>
    </row>
    <row r="55" spans="2:7" ht="15" x14ac:dyDescent="0.25">
      <c r="B55" s="401"/>
      <c r="C55" s="401"/>
      <c r="D55" s="383"/>
      <c r="E55" s="383"/>
      <c r="F55" s="383"/>
      <c r="G55" s="383"/>
    </row>
    <row r="56" spans="2:7" ht="15" x14ac:dyDescent="0.25">
      <c r="B56" s="401"/>
      <c r="C56" s="401"/>
      <c r="D56" s="383"/>
      <c r="E56" s="383"/>
      <c r="F56" s="383"/>
      <c r="G56" s="383"/>
    </row>
    <row r="57" spans="2:7" ht="15" x14ac:dyDescent="0.25">
      <c r="B57" s="401"/>
      <c r="C57" s="401"/>
      <c r="D57" s="383"/>
      <c r="E57" s="383"/>
      <c r="F57" s="383"/>
      <c r="G57" s="383"/>
    </row>
    <row r="58" spans="2:7" ht="15" x14ac:dyDescent="0.25">
      <c r="B58" s="401"/>
      <c r="C58" s="401"/>
      <c r="D58" s="383"/>
      <c r="E58" s="383"/>
      <c r="F58" s="383"/>
      <c r="G58" s="383"/>
    </row>
    <row r="59" spans="2:7" ht="15" x14ac:dyDescent="0.25">
      <c r="B59" s="401"/>
      <c r="C59" s="401"/>
      <c r="D59" s="383"/>
      <c r="E59" s="383"/>
      <c r="F59" s="383"/>
      <c r="G59" s="383"/>
    </row>
    <row r="60" spans="2:7" ht="15" x14ac:dyDescent="0.25">
      <c r="B60" s="401"/>
      <c r="C60" s="401"/>
      <c r="D60" s="383"/>
      <c r="E60" s="383"/>
      <c r="F60" s="383"/>
      <c r="G60" s="383"/>
    </row>
    <row r="61" spans="2:7" ht="15" x14ac:dyDescent="0.25">
      <c r="B61" s="401"/>
      <c r="C61" s="401"/>
      <c r="D61" s="383"/>
      <c r="E61" s="383"/>
      <c r="F61" s="383"/>
      <c r="G61" s="383"/>
    </row>
    <row r="62" spans="2:7" ht="15" x14ac:dyDescent="0.25">
      <c r="B62" s="401"/>
      <c r="C62" s="401"/>
      <c r="D62" s="383"/>
      <c r="E62" s="383"/>
      <c r="F62" s="383"/>
      <c r="G62" s="383"/>
    </row>
    <row r="63" spans="2:7" ht="15" x14ac:dyDescent="0.25">
      <c r="B63" s="401"/>
      <c r="C63" s="401"/>
      <c r="D63" s="383"/>
      <c r="E63" s="383"/>
      <c r="F63" s="383"/>
      <c r="G63" s="383"/>
    </row>
    <row r="64" spans="2:7" ht="15" x14ac:dyDescent="0.25">
      <c r="B64" s="401"/>
      <c r="C64" s="401"/>
      <c r="D64" s="383"/>
      <c r="E64" s="383"/>
      <c r="F64" s="383"/>
      <c r="G64" s="383"/>
    </row>
    <row r="65" spans="2:7" ht="15" x14ac:dyDescent="0.25">
      <c r="B65" s="401"/>
      <c r="C65" s="401"/>
      <c r="D65" s="383"/>
      <c r="E65" s="383"/>
      <c r="F65" s="383"/>
      <c r="G65" s="383"/>
    </row>
    <row r="66" spans="2:7" ht="15" x14ac:dyDescent="0.25">
      <c r="B66" s="401"/>
      <c r="C66" s="401"/>
      <c r="D66" s="383"/>
      <c r="E66" s="383"/>
      <c r="F66" s="383"/>
      <c r="G66" s="383"/>
    </row>
    <row r="67" spans="2:7" ht="15" x14ac:dyDescent="0.25">
      <c r="B67" s="401"/>
      <c r="C67" s="401"/>
      <c r="D67" s="383"/>
      <c r="E67" s="383"/>
      <c r="F67" s="383"/>
      <c r="G67" s="383"/>
    </row>
    <row r="68" spans="2:7" ht="15" x14ac:dyDescent="0.25">
      <c r="B68" s="401"/>
      <c r="C68" s="401"/>
      <c r="D68" s="383"/>
      <c r="E68" s="383"/>
      <c r="F68" s="383"/>
      <c r="G68" s="383"/>
    </row>
    <row r="69" spans="2:7" ht="15" x14ac:dyDescent="0.25">
      <c r="B69" s="401"/>
      <c r="C69" s="401"/>
      <c r="D69" s="383"/>
      <c r="E69" s="383"/>
      <c r="F69" s="383"/>
      <c r="G69" s="383"/>
    </row>
    <row r="70" spans="2:7" ht="15" x14ac:dyDescent="0.25">
      <c r="B70" s="401"/>
      <c r="C70" s="401"/>
      <c r="D70" s="383"/>
      <c r="E70" s="383"/>
      <c r="F70" s="383"/>
      <c r="G70" s="383"/>
    </row>
    <row r="71" spans="2:7" ht="15" x14ac:dyDescent="0.25">
      <c r="B71" s="401"/>
      <c r="C71" s="401"/>
      <c r="D71" s="383"/>
      <c r="E71" s="383"/>
      <c r="F71" s="383"/>
      <c r="G71" s="383"/>
    </row>
    <row r="72" spans="2:7" ht="15" x14ac:dyDescent="0.25">
      <c r="B72" s="401"/>
      <c r="C72" s="401"/>
      <c r="D72" s="383"/>
      <c r="E72" s="383"/>
      <c r="F72" s="383"/>
      <c r="G72" s="383"/>
    </row>
    <row r="73" spans="2:7" ht="15" x14ac:dyDescent="0.25">
      <c r="B73" s="401"/>
      <c r="C73" s="401"/>
      <c r="D73" s="383"/>
      <c r="E73" s="383"/>
      <c r="F73" s="383"/>
      <c r="G73" s="383"/>
    </row>
    <row r="74" spans="2:7" ht="15" x14ac:dyDescent="0.25">
      <c r="B74" s="401"/>
      <c r="C74" s="401"/>
      <c r="D74" s="383"/>
      <c r="E74" s="383"/>
      <c r="F74" s="383"/>
      <c r="G74" s="383"/>
    </row>
    <row r="75" spans="2:7" ht="15" x14ac:dyDescent="0.25">
      <c r="B75" s="401"/>
      <c r="C75" s="401"/>
      <c r="D75" s="383"/>
      <c r="E75" s="383"/>
      <c r="F75" s="383"/>
      <c r="G75" s="383"/>
    </row>
    <row r="76" spans="2:7" ht="15" x14ac:dyDescent="0.25">
      <c r="B76" s="401"/>
      <c r="C76" s="401"/>
      <c r="D76" s="383"/>
      <c r="E76" s="383"/>
      <c r="F76" s="383"/>
      <c r="G76" s="383"/>
    </row>
    <row r="77" spans="2:7" ht="15" x14ac:dyDescent="0.25">
      <c r="B77" s="401"/>
      <c r="C77" s="401"/>
      <c r="D77" s="383"/>
      <c r="E77" s="383"/>
      <c r="F77" s="383"/>
      <c r="G77" s="383"/>
    </row>
    <row r="78" spans="2:7" ht="15" x14ac:dyDescent="0.25">
      <c r="B78" s="401"/>
      <c r="C78" s="401"/>
      <c r="D78" s="383"/>
      <c r="E78" s="383"/>
      <c r="F78" s="383"/>
      <c r="G78" s="383"/>
    </row>
    <row r="79" spans="2:7" ht="15" x14ac:dyDescent="0.25">
      <c r="B79" s="401"/>
      <c r="C79" s="401"/>
      <c r="D79" s="383"/>
      <c r="E79" s="383"/>
      <c r="F79" s="383"/>
      <c r="G79" s="383"/>
    </row>
    <row r="80" spans="2:7" ht="15" x14ac:dyDescent="0.25">
      <c r="B80" s="401"/>
      <c r="C80" s="401"/>
      <c r="D80" s="383"/>
      <c r="E80" s="383"/>
      <c r="F80" s="383"/>
      <c r="G80" s="383"/>
    </row>
    <row r="81" spans="2:7" ht="15" x14ac:dyDescent="0.25">
      <c r="B81" s="401"/>
      <c r="C81" s="401"/>
      <c r="D81" s="383"/>
      <c r="E81" s="383"/>
      <c r="F81" s="383"/>
      <c r="G81" s="383"/>
    </row>
    <row r="82" spans="2:7" ht="15" x14ac:dyDescent="0.25">
      <c r="B82" s="401"/>
      <c r="C82" s="401"/>
      <c r="D82" s="383"/>
      <c r="E82" s="383"/>
      <c r="F82" s="383"/>
      <c r="G82" s="383"/>
    </row>
    <row r="83" spans="2:7" ht="15" x14ac:dyDescent="0.25">
      <c r="B83" s="401"/>
      <c r="C83" s="401"/>
      <c r="D83" s="383"/>
      <c r="E83" s="383"/>
      <c r="F83" s="383"/>
      <c r="G83" s="383"/>
    </row>
    <row r="84" spans="2:7" ht="15" x14ac:dyDescent="0.25">
      <c r="B84" s="401"/>
      <c r="C84" s="401"/>
      <c r="D84" s="383"/>
      <c r="E84" s="383"/>
      <c r="F84" s="383"/>
      <c r="G84" s="383"/>
    </row>
    <row r="85" spans="2:7" ht="15" x14ac:dyDescent="0.25">
      <c r="B85" s="401"/>
      <c r="C85" s="401"/>
      <c r="D85" s="383"/>
      <c r="E85" s="383"/>
      <c r="F85" s="383"/>
      <c r="G85" s="383"/>
    </row>
    <row r="86" spans="2:7" ht="15" x14ac:dyDescent="0.25">
      <c r="B86" s="401"/>
      <c r="C86" s="401"/>
      <c r="D86" s="383"/>
      <c r="E86" s="383"/>
      <c r="F86" s="383"/>
      <c r="G86" s="383"/>
    </row>
    <row r="87" spans="2:7" ht="15" x14ac:dyDescent="0.25">
      <c r="B87" s="401"/>
      <c r="C87" s="401"/>
      <c r="D87" s="383"/>
      <c r="E87" s="383"/>
      <c r="F87" s="383"/>
      <c r="G87" s="383"/>
    </row>
    <row r="88" spans="2:7" ht="15" x14ac:dyDescent="0.25">
      <c r="B88" s="401"/>
      <c r="C88" s="401"/>
      <c r="D88" s="383"/>
      <c r="E88" s="383"/>
      <c r="F88" s="383"/>
      <c r="G88" s="383"/>
    </row>
    <row r="89" spans="2:7" ht="15" x14ac:dyDescent="0.25">
      <c r="B89" s="401"/>
      <c r="C89" s="401"/>
      <c r="D89" s="383"/>
      <c r="E89" s="383"/>
      <c r="F89" s="383"/>
      <c r="G89" s="383"/>
    </row>
    <row r="90" spans="2:7" ht="15" x14ac:dyDescent="0.25">
      <c r="B90" s="401"/>
      <c r="C90" s="401"/>
      <c r="D90" s="383"/>
      <c r="E90" s="383"/>
      <c r="F90" s="383"/>
      <c r="G90" s="383"/>
    </row>
    <row r="91" spans="2:7" ht="15" x14ac:dyDescent="0.25">
      <c r="B91" s="401"/>
      <c r="C91" s="401"/>
      <c r="D91" s="383"/>
      <c r="E91" s="383"/>
      <c r="F91" s="383"/>
      <c r="G91" s="383"/>
    </row>
    <row r="92" spans="2:7" ht="15" x14ac:dyDescent="0.25">
      <c r="B92" s="401"/>
      <c r="C92" s="401"/>
      <c r="D92" s="383"/>
      <c r="E92" s="383"/>
      <c r="F92" s="383"/>
      <c r="G92" s="383"/>
    </row>
    <row r="93" spans="2:7" ht="15" x14ac:dyDescent="0.25">
      <c r="B93" s="401"/>
      <c r="C93" s="401"/>
      <c r="D93" s="383"/>
      <c r="E93" s="383"/>
      <c r="F93" s="383"/>
      <c r="G93" s="383"/>
    </row>
    <row r="94" spans="2:7" ht="15" x14ac:dyDescent="0.25">
      <c r="B94" s="401"/>
      <c r="C94" s="401"/>
      <c r="D94" s="383"/>
      <c r="E94" s="383"/>
      <c r="F94" s="383"/>
      <c r="G94" s="383"/>
    </row>
    <row r="95" spans="2:7" ht="15" x14ac:dyDescent="0.25">
      <c r="B95" s="401"/>
      <c r="C95" s="401"/>
      <c r="D95" s="383"/>
      <c r="E95" s="383"/>
      <c r="F95" s="383"/>
      <c r="G95" s="383"/>
    </row>
    <row r="96" spans="2:7" ht="15" x14ac:dyDescent="0.25">
      <c r="B96" s="401"/>
      <c r="C96" s="401"/>
      <c r="D96" s="383"/>
      <c r="E96" s="383"/>
      <c r="F96" s="383"/>
      <c r="G96" s="383"/>
    </row>
    <row r="97" spans="2:7" ht="15" x14ac:dyDescent="0.25">
      <c r="B97" s="401"/>
      <c r="C97" s="401"/>
      <c r="D97" s="383"/>
      <c r="E97" s="383"/>
      <c r="F97" s="383"/>
      <c r="G97" s="383"/>
    </row>
    <row r="98" spans="2:7" ht="15" x14ac:dyDescent="0.25">
      <c r="B98" s="401"/>
      <c r="C98" s="401"/>
      <c r="D98" s="383"/>
      <c r="E98" s="383"/>
      <c r="F98" s="383"/>
      <c r="G98" s="383"/>
    </row>
    <row r="99" spans="2:7" ht="15" x14ac:dyDescent="0.25">
      <c r="B99" s="401"/>
      <c r="C99" s="401"/>
      <c r="D99" s="383"/>
      <c r="E99" s="383"/>
      <c r="F99" s="383"/>
      <c r="G99" s="383"/>
    </row>
    <row r="100" spans="2:7" ht="15" x14ac:dyDescent="0.25">
      <c r="B100" s="401"/>
      <c r="C100" s="401"/>
      <c r="D100" s="383"/>
      <c r="E100" s="383"/>
      <c r="F100" s="383"/>
      <c r="G100" s="383"/>
    </row>
    <row r="101" spans="2:7" ht="15" x14ac:dyDescent="0.25">
      <c r="B101" s="401"/>
      <c r="C101" s="401"/>
      <c r="D101" s="383"/>
      <c r="E101" s="383"/>
      <c r="F101" s="383"/>
      <c r="G101" s="383"/>
    </row>
    <row r="102" spans="2:7" ht="15" x14ac:dyDescent="0.25">
      <c r="B102" s="401"/>
      <c r="C102" s="401"/>
      <c r="D102" s="383"/>
      <c r="E102" s="383"/>
      <c r="F102" s="383"/>
      <c r="G102" s="383"/>
    </row>
    <row r="103" spans="2:7" ht="15" x14ac:dyDescent="0.25">
      <c r="B103" s="401"/>
      <c r="C103" s="401"/>
      <c r="D103" s="383"/>
      <c r="E103" s="383"/>
      <c r="F103" s="383"/>
      <c r="G103" s="383"/>
    </row>
    <row r="104" spans="2:7" ht="15" x14ac:dyDescent="0.25">
      <c r="B104" s="401"/>
      <c r="C104" s="401"/>
      <c r="D104" s="383"/>
      <c r="E104" s="383"/>
      <c r="F104" s="383"/>
      <c r="G104" s="383"/>
    </row>
    <row r="105" spans="2:7" ht="15" x14ac:dyDescent="0.25">
      <c r="B105" s="401"/>
      <c r="C105" s="401"/>
      <c r="D105" s="383"/>
      <c r="E105" s="383"/>
      <c r="F105" s="383"/>
      <c r="G105" s="383"/>
    </row>
    <row r="106" spans="2:7" ht="15" x14ac:dyDescent="0.25">
      <c r="B106" s="401"/>
      <c r="C106" s="401"/>
      <c r="D106" s="383"/>
      <c r="E106" s="383"/>
      <c r="F106" s="383"/>
      <c r="G106" s="383"/>
    </row>
    <row r="107" spans="2:7" ht="15" x14ac:dyDescent="0.25">
      <c r="B107" s="401"/>
      <c r="C107" s="401"/>
      <c r="D107" s="383"/>
      <c r="E107" s="383"/>
      <c r="F107" s="383"/>
      <c r="G107" s="383"/>
    </row>
    <row r="108" spans="2:7" ht="15" x14ac:dyDescent="0.25">
      <c r="B108" s="401"/>
      <c r="C108" s="401"/>
      <c r="D108" s="383"/>
      <c r="E108" s="383"/>
      <c r="F108" s="383"/>
      <c r="G108" s="383"/>
    </row>
    <row r="109" spans="2:7" ht="15" x14ac:dyDescent="0.25">
      <c r="B109" s="401"/>
      <c r="C109" s="401"/>
      <c r="D109" s="383"/>
      <c r="E109" s="383"/>
      <c r="F109" s="383"/>
      <c r="G109" s="383"/>
    </row>
    <row r="110" spans="2:7" ht="15" x14ac:dyDescent="0.25">
      <c r="B110" s="401"/>
      <c r="C110" s="401"/>
      <c r="D110" s="383"/>
      <c r="E110" s="383"/>
      <c r="F110" s="383"/>
      <c r="G110" s="383"/>
    </row>
    <row r="111" spans="2:7" ht="15" x14ac:dyDescent="0.25">
      <c r="B111" s="401"/>
      <c r="C111" s="401"/>
      <c r="D111" s="383"/>
      <c r="E111" s="383"/>
      <c r="F111" s="383"/>
      <c r="G111" s="383"/>
    </row>
    <row r="112" spans="2:7" ht="15" x14ac:dyDescent="0.25">
      <c r="B112" s="401"/>
      <c r="C112" s="401"/>
      <c r="D112" s="383"/>
      <c r="E112" s="383"/>
      <c r="F112" s="383"/>
      <c r="G112" s="383"/>
    </row>
    <row r="113" spans="2:7" ht="15" x14ac:dyDescent="0.25">
      <c r="B113" s="401"/>
      <c r="C113" s="401"/>
      <c r="D113" s="383"/>
      <c r="E113" s="383"/>
      <c r="F113" s="383"/>
      <c r="G113" s="383"/>
    </row>
    <row r="114" spans="2:7" ht="15" x14ac:dyDescent="0.25">
      <c r="B114" s="401"/>
      <c r="C114" s="401"/>
      <c r="D114" s="383"/>
      <c r="E114" s="383"/>
      <c r="F114" s="383"/>
      <c r="G114" s="383"/>
    </row>
    <row r="115" spans="2:7" ht="15" x14ac:dyDescent="0.25">
      <c r="B115" s="401"/>
      <c r="C115" s="401"/>
      <c r="D115" s="383"/>
      <c r="E115" s="383"/>
      <c r="F115" s="383"/>
      <c r="G115" s="383"/>
    </row>
    <row r="116" spans="2:7" ht="15" x14ac:dyDescent="0.25">
      <c r="B116" s="401"/>
      <c r="C116" s="401"/>
      <c r="D116" s="383"/>
      <c r="E116" s="383"/>
      <c r="F116" s="383"/>
      <c r="G116" s="383"/>
    </row>
    <row r="117" spans="2:7" ht="15" x14ac:dyDescent="0.25">
      <c r="B117" s="401"/>
      <c r="C117" s="401"/>
      <c r="D117" s="383"/>
      <c r="E117" s="383"/>
      <c r="F117" s="383"/>
      <c r="G117" s="383"/>
    </row>
    <row r="118" spans="2:7" ht="15" x14ac:dyDescent="0.25">
      <c r="B118" s="401"/>
      <c r="C118" s="401"/>
      <c r="D118" s="383"/>
      <c r="E118" s="383"/>
      <c r="F118" s="383"/>
      <c r="G118" s="383"/>
    </row>
    <row r="119" spans="2:7" ht="15" x14ac:dyDescent="0.25">
      <c r="B119" s="401"/>
      <c r="C119" s="401"/>
      <c r="D119" s="383"/>
      <c r="E119" s="383"/>
      <c r="F119" s="383"/>
      <c r="G119" s="383"/>
    </row>
    <row r="120" spans="2:7" ht="15" x14ac:dyDescent="0.25">
      <c r="B120" s="401"/>
      <c r="C120" s="401"/>
      <c r="D120" s="383"/>
      <c r="E120" s="383"/>
      <c r="F120" s="383"/>
      <c r="G120" s="383"/>
    </row>
    <row r="121" spans="2:7" ht="15" x14ac:dyDescent="0.25">
      <c r="B121" s="401"/>
      <c r="C121" s="401"/>
      <c r="D121" s="383"/>
      <c r="E121" s="383"/>
      <c r="F121" s="383"/>
      <c r="G121" s="383"/>
    </row>
    <row r="122" spans="2:7" ht="15" x14ac:dyDescent="0.25">
      <c r="B122" s="401"/>
      <c r="C122" s="401"/>
      <c r="D122" s="383"/>
      <c r="E122" s="383"/>
      <c r="F122" s="383"/>
      <c r="G122" s="383"/>
    </row>
    <row r="123" spans="2:7" ht="15" x14ac:dyDescent="0.25">
      <c r="B123" s="401"/>
      <c r="C123" s="401"/>
      <c r="D123" s="383"/>
      <c r="E123" s="383"/>
      <c r="F123" s="383"/>
      <c r="G123" s="383"/>
    </row>
    <row r="124" spans="2:7" ht="15" x14ac:dyDescent="0.25">
      <c r="B124" s="401"/>
      <c r="C124" s="401"/>
      <c r="D124" s="383"/>
      <c r="E124" s="383"/>
      <c r="F124" s="383"/>
      <c r="G124" s="383"/>
    </row>
    <row r="125" spans="2:7" ht="15" x14ac:dyDescent="0.25">
      <c r="B125" s="401"/>
      <c r="C125" s="401"/>
      <c r="D125" s="383"/>
      <c r="E125" s="383"/>
      <c r="F125" s="383"/>
      <c r="G125" s="383"/>
    </row>
    <row r="126" spans="2:7" ht="15" x14ac:dyDescent="0.25">
      <c r="B126" s="401"/>
      <c r="C126" s="401"/>
      <c r="D126" s="383"/>
      <c r="E126" s="383"/>
      <c r="F126" s="383"/>
      <c r="G126" s="383"/>
    </row>
    <row r="127" spans="2:7" ht="15" x14ac:dyDescent="0.25">
      <c r="B127" s="401"/>
      <c r="C127" s="401"/>
      <c r="D127" s="383"/>
      <c r="E127" s="383"/>
      <c r="F127" s="383"/>
      <c r="G127" s="383"/>
    </row>
    <row r="128" spans="2:7" ht="15" x14ac:dyDescent="0.25">
      <c r="B128" s="401"/>
      <c r="C128" s="401"/>
      <c r="D128" s="383"/>
      <c r="E128" s="383"/>
      <c r="F128" s="383"/>
      <c r="G128" s="383"/>
    </row>
    <row r="129" spans="2:7" ht="15" x14ac:dyDescent="0.25">
      <c r="B129" s="401"/>
      <c r="C129" s="401"/>
      <c r="D129" s="383"/>
      <c r="E129" s="383"/>
      <c r="F129" s="383"/>
      <c r="G129" s="383"/>
    </row>
    <row r="130" spans="2:7" ht="15" x14ac:dyDescent="0.25">
      <c r="B130" s="401"/>
      <c r="C130" s="401"/>
      <c r="D130" s="383"/>
      <c r="E130" s="383"/>
      <c r="F130" s="383"/>
      <c r="G130" s="383"/>
    </row>
    <row r="131" spans="2:7" ht="15" x14ac:dyDescent="0.25">
      <c r="B131" s="401"/>
      <c r="C131" s="401"/>
      <c r="D131" s="383"/>
      <c r="E131" s="383"/>
      <c r="F131" s="383"/>
      <c r="G131" s="383"/>
    </row>
    <row r="132" spans="2:7" ht="15" x14ac:dyDescent="0.25">
      <c r="B132" s="401"/>
      <c r="C132" s="401"/>
      <c r="D132" s="383"/>
      <c r="E132" s="383"/>
      <c r="F132" s="383"/>
      <c r="G132" s="383"/>
    </row>
    <row r="133" spans="2:7" ht="15" x14ac:dyDescent="0.25">
      <c r="B133" s="401"/>
      <c r="C133" s="401"/>
      <c r="D133" s="383"/>
      <c r="E133" s="383"/>
      <c r="F133" s="383"/>
      <c r="G133" s="383"/>
    </row>
    <row r="134" spans="2:7" ht="15" x14ac:dyDescent="0.25">
      <c r="B134" s="401"/>
      <c r="C134" s="401"/>
      <c r="D134" s="383"/>
      <c r="E134" s="383"/>
      <c r="F134" s="383"/>
      <c r="G134" s="383"/>
    </row>
    <row r="135" spans="2:7" ht="15" x14ac:dyDescent="0.25">
      <c r="B135" s="401"/>
      <c r="C135" s="401"/>
      <c r="D135" s="383"/>
      <c r="E135" s="383"/>
      <c r="F135" s="383"/>
      <c r="G135" s="383"/>
    </row>
    <row r="136" spans="2:7" ht="15" x14ac:dyDescent="0.25">
      <c r="B136" s="401"/>
      <c r="C136" s="401"/>
      <c r="D136" s="383"/>
      <c r="E136" s="383"/>
      <c r="F136" s="383"/>
      <c r="G136" s="383"/>
    </row>
    <row r="137" spans="2:7" ht="15" x14ac:dyDescent="0.25">
      <c r="B137" s="401"/>
      <c r="C137" s="401"/>
      <c r="D137" s="383"/>
      <c r="E137" s="383"/>
      <c r="F137" s="383"/>
      <c r="G137" s="383"/>
    </row>
    <row r="138" spans="2:7" ht="15" x14ac:dyDescent="0.25">
      <c r="B138" s="401"/>
      <c r="C138" s="401"/>
      <c r="D138" s="383"/>
      <c r="E138" s="383"/>
      <c r="F138" s="383"/>
      <c r="G138" s="383"/>
    </row>
    <row r="139" spans="2:7" ht="15" x14ac:dyDescent="0.25">
      <c r="B139" s="401"/>
      <c r="C139" s="401"/>
      <c r="D139" s="383"/>
      <c r="E139" s="383"/>
      <c r="F139" s="383"/>
      <c r="G139" s="383"/>
    </row>
    <row r="140" spans="2:7" ht="15" x14ac:dyDescent="0.25">
      <c r="B140" s="401"/>
      <c r="C140" s="401"/>
      <c r="D140" s="383"/>
      <c r="E140" s="383"/>
      <c r="F140" s="383"/>
      <c r="G140" s="383"/>
    </row>
    <row r="141" spans="2:7" ht="15" x14ac:dyDescent="0.25">
      <c r="B141" s="401"/>
      <c r="C141" s="401"/>
      <c r="D141" s="383"/>
      <c r="E141" s="383"/>
      <c r="F141" s="383"/>
      <c r="G141" s="383"/>
    </row>
  </sheetData>
  <mergeCells count="12">
    <mergeCell ref="B12:C12"/>
    <mergeCell ref="A1:C1"/>
    <mergeCell ref="A2:C2"/>
    <mergeCell ref="A3:C3"/>
    <mergeCell ref="A4:C4"/>
    <mergeCell ref="A5:C5"/>
    <mergeCell ref="A6:C6"/>
    <mergeCell ref="A7:C7"/>
    <mergeCell ref="A8:C8"/>
    <mergeCell ref="B9:C9"/>
    <mergeCell ref="A10:C10"/>
    <mergeCell ref="A11:C11"/>
  </mergeCells>
  <pageMargins left="0.7" right="0.7" top="0.75" bottom="0.75" header="0.3" footer="0.3"/>
  <pageSetup paperSize="9" scale="8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1"/>
  <sheetViews>
    <sheetView view="pageBreakPreview" topLeftCell="A10" zoomScale="60" zoomScaleNormal="90" workbookViewId="0">
      <selection activeCell="F16" sqref="F16"/>
    </sheetView>
  </sheetViews>
  <sheetFormatPr defaultRowHeight="12" x14ac:dyDescent="0.2"/>
  <cols>
    <col min="1" max="1" width="4" style="181" customWidth="1"/>
    <col min="2" max="2" width="54.85546875" style="181" customWidth="1"/>
    <col min="3" max="3" width="106.7109375" style="207" customWidth="1"/>
    <col min="4" max="5" width="14.85546875" style="208" customWidth="1"/>
    <col min="6" max="249" width="9.140625" style="181"/>
    <col min="250" max="250" width="4" style="181" customWidth="1"/>
    <col min="251" max="251" width="54.85546875" style="181" customWidth="1"/>
    <col min="252" max="252" width="106.7109375" style="181" customWidth="1"/>
    <col min="253" max="254" width="0" style="181" hidden="1" customWidth="1"/>
    <col min="255" max="255" width="16.28515625" style="181" customWidth="1"/>
    <col min="256" max="256" width="11.5703125" style="181" customWidth="1"/>
    <col min="257" max="257" width="16.28515625" style="181" customWidth="1"/>
    <col min="258" max="259" width="0" style="181" hidden="1" customWidth="1"/>
    <col min="260" max="505" width="9.140625" style="181"/>
    <col min="506" max="506" width="4" style="181" customWidth="1"/>
    <col min="507" max="507" width="54.85546875" style="181" customWidth="1"/>
    <col min="508" max="508" width="106.7109375" style="181" customWidth="1"/>
    <col min="509" max="510" width="0" style="181" hidden="1" customWidth="1"/>
    <col min="511" max="511" width="16.28515625" style="181" customWidth="1"/>
    <col min="512" max="512" width="11.5703125" style="181" customWidth="1"/>
    <col min="513" max="513" width="16.28515625" style="181" customWidth="1"/>
    <col min="514" max="515" width="0" style="181" hidden="1" customWidth="1"/>
    <col min="516" max="761" width="9.140625" style="181"/>
    <col min="762" max="762" width="4" style="181" customWidth="1"/>
    <col min="763" max="763" width="54.85546875" style="181" customWidth="1"/>
    <col min="764" max="764" width="106.7109375" style="181" customWidth="1"/>
    <col min="765" max="766" width="0" style="181" hidden="1" customWidth="1"/>
    <col min="767" max="767" width="16.28515625" style="181" customWidth="1"/>
    <col min="768" max="768" width="11.5703125" style="181" customWidth="1"/>
    <col min="769" max="769" width="16.28515625" style="181" customWidth="1"/>
    <col min="770" max="771" width="0" style="181" hidden="1" customWidth="1"/>
    <col min="772" max="1017" width="9.140625" style="181"/>
    <col min="1018" max="1018" width="4" style="181" customWidth="1"/>
    <col min="1019" max="1019" width="54.85546875" style="181" customWidth="1"/>
    <col min="1020" max="1020" width="106.7109375" style="181" customWidth="1"/>
    <col min="1021" max="1022" width="0" style="181" hidden="1" customWidth="1"/>
    <col min="1023" max="1023" width="16.28515625" style="181" customWidth="1"/>
    <col min="1024" max="1024" width="11.5703125" style="181" customWidth="1"/>
    <col min="1025" max="1025" width="16.28515625" style="181" customWidth="1"/>
    <col min="1026" max="1027" width="0" style="181" hidden="1" customWidth="1"/>
    <col min="1028" max="1273" width="9.140625" style="181"/>
    <col min="1274" max="1274" width="4" style="181" customWidth="1"/>
    <col min="1275" max="1275" width="54.85546875" style="181" customWidth="1"/>
    <col min="1276" max="1276" width="106.7109375" style="181" customWidth="1"/>
    <col min="1277" max="1278" width="0" style="181" hidden="1" customWidth="1"/>
    <col min="1279" max="1279" width="16.28515625" style="181" customWidth="1"/>
    <col min="1280" max="1280" width="11.5703125" style="181" customWidth="1"/>
    <col min="1281" max="1281" width="16.28515625" style="181" customWidth="1"/>
    <col min="1282" max="1283" width="0" style="181" hidden="1" customWidth="1"/>
    <col min="1284" max="1529" width="9.140625" style="181"/>
    <col min="1530" max="1530" width="4" style="181" customWidth="1"/>
    <col min="1531" max="1531" width="54.85546875" style="181" customWidth="1"/>
    <col min="1532" max="1532" width="106.7109375" style="181" customWidth="1"/>
    <col min="1533" max="1534" width="0" style="181" hidden="1" customWidth="1"/>
    <col min="1535" max="1535" width="16.28515625" style="181" customWidth="1"/>
    <col min="1536" max="1536" width="11.5703125" style="181" customWidth="1"/>
    <col min="1537" max="1537" width="16.28515625" style="181" customWidth="1"/>
    <col min="1538" max="1539" width="0" style="181" hidden="1" customWidth="1"/>
    <col min="1540" max="1785" width="9.140625" style="181"/>
    <col min="1786" max="1786" width="4" style="181" customWidth="1"/>
    <col min="1787" max="1787" width="54.85546875" style="181" customWidth="1"/>
    <col min="1788" max="1788" width="106.7109375" style="181" customWidth="1"/>
    <col min="1789" max="1790" width="0" style="181" hidden="1" customWidth="1"/>
    <col min="1791" max="1791" width="16.28515625" style="181" customWidth="1"/>
    <col min="1792" max="1792" width="11.5703125" style="181" customWidth="1"/>
    <col min="1793" max="1793" width="16.28515625" style="181" customWidth="1"/>
    <col min="1794" max="1795" width="0" style="181" hidden="1" customWidth="1"/>
    <col min="1796" max="2041" width="9.140625" style="181"/>
    <col min="2042" max="2042" width="4" style="181" customWidth="1"/>
    <col min="2043" max="2043" width="54.85546875" style="181" customWidth="1"/>
    <col min="2044" max="2044" width="106.7109375" style="181" customWidth="1"/>
    <col min="2045" max="2046" width="0" style="181" hidden="1" customWidth="1"/>
    <col min="2047" max="2047" width="16.28515625" style="181" customWidth="1"/>
    <col min="2048" max="2048" width="11.5703125" style="181" customWidth="1"/>
    <col min="2049" max="2049" width="16.28515625" style="181" customWidth="1"/>
    <col min="2050" max="2051" width="0" style="181" hidden="1" customWidth="1"/>
    <col min="2052" max="2297" width="9.140625" style="181"/>
    <col min="2298" max="2298" width="4" style="181" customWidth="1"/>
    <col min="2299" max="2299" width="54.85546875" style="181" customWidth="1"/>
    <col min="2300" max="2300" width="106.7109375" style="181" customWidth="1"/>
    <col min="2301" max="2302" width="0" style="181" hidden="1" customWidth="1"/>
    <col min="2303" max="2303" width="16.28515625" style="181" customWidth="1"/>
    <col min="2304" max="2304" width="11.5703125" style="181" customWidth="1"/>
    <col min="2305" max="2305" width="16.28515625" style="181" customWidth="1"/>
    <col min="2306" max="2307" width="0" style="181" hidden="1" customWidth="1"/>
    <col min="2308" max="2553" width="9.140625" style="181"/>
    <col min="2554" max="2554" width="4" style="181" customWidth="1"/>
    <col min="2555" max="2555" width="54.85546875" style="181" customWidth="1"/>
    <col min="2556" max="2556" width="106.7109375" style="181" customWidth="1"/>
    <col min="2557" max="2558" width="0" style="181" hidden="1" customWidth="1"/>
    <col min="2559" max="2559" width="16.28515625" style="181" customWidth="1"/>
    <col min="2560" max="2560" width="11.5703125" style="181" customWidth="1"/>
    <col min="2561" max="2561" width="16.28515625" style="181" customWidth="1"/>
    <col min="2562" max="2563" width="0" style="181" hidden="1" customWidth="1"/>
    <col min="2564" max="2809" width="9.140625" style="181"/>
    <col min="2810" max="2810" width="4" style="181" customWidth="1"/>
    <col min="2811" max="2811" width="54.85546875" style="181" customWidth="1"/>
    <col min="2812" max="2812" width="106.7109375" style="181" customWidth="1"/>
    <col min="2813" max="2814" width="0" style="181" hidden="1" customWidth="1"/>
    <col min="2815" max="2815" width="16.28515625" style="181" customWidth="1"/>
    <col min="2816" max="2816" width="11.5703125" style="181" customWidth="1"/>
    <col min="2817" max="2817" width="16.28515625" style="181" customWidth="1"/>
    <col min="2818" max="2819" width="0" style="181" hidden="1" customWidth="1"/>
    <col min="2820" max="3065" width="9.140625" style="181"/>
    <col min="3066" max="3066" width="4" style="181" customWidth="1"/>
    <col min="3067" max="3067" width="54.85546875" style="181" customWidth="1"/>
    <col min="3068" max="3068" width="106.7109375" style="181" customWidth="1"/>
    <col min="3069" max="3070" width="0" style="181" hidden="1" customWidth="1"/>
    <col min="3071" max="3071" width="16.28515625" style="181" customWidth="1"/>
    <col min="3072" max="3072" width="11.5703125" style="181" customWidth="1"/>
    <col min="3073" max="3073" width="16.28515625" style="181" customWidth="1"/>
    <col min="3074" max="3075" width="0" style="181" hidden="1" customWidth="1"/>
    <col min="3076" max="3321" width="9.140625" style="181"/>
    <col min="3322" max="3322" width="4" style="181" customWidth="1"/>
    <col min="3323" max="3323" width="54.85546875" style="181" customWidth="1"/>
    <col min="3324" max="3324" width="106.7109375" style="181" customWidth="1"/>
    <col min="3325" max="3326" width="0" style="181" hidden="1" customWidth="1"/>
    <col min="3327" max="3327" width="16.28515625" style="181" customWidth="1"/>
    <col min="3328" max="3328" width="11.5703125" style="181" customWidth="1"/>
    <col min="3329" max="3329" width="16.28515625" style="181" customWidth="1"/>
    <col min="3330" max="3331" width="0" style="181" hidden="1" customWidth="1"/>
    <col min="3332" max="3577" width="9.140625" style="181"/>
    <col min="3578" max="3578" width="4" style="181" customWidth="1"/>
    <col min="3579" max="3579" width="54.85546875" style="181" customWidth="1"/>
    <col min="3580" max="3580" width="106.7109375" style="181" customWidth="1"/>
    <col min="3581" max="3582" width="0" style="181" hidden="1" customWidth="1"/>
    <col min="3583" max="3583" width="16.28515625" style="181" customWidth="1"/>
    <col min="3584" max="3584" width="11.5703125" style="181" customWidth="1"/>
    <col min="3585" max="3585" width="16.28515625" style="181" customWidth="1"/>
    <col min="3586" max="3587" width="0" style="181" hidden="1" customWidth="1"/>
    <col min="3588" max="3833" width="9.140625" style="181"/>
    <col min="3834" max="3834" width="4" style="181" customWidth="1"/>
    <col min="3835" max="3835" width="54.85546875" style="181" customWidth="1"/>
    <col min="3836" max="3836" width="106.7109375" style="181" customWidth="1"/>
    <col min="3837" max="3838" width="0" style="181" hidden="1" customWidth="1"/>
    <col min="3839" max="3839" width="16.28515625" style="181" customWidth="1"/>
    <col min="3840" max="3840" width="11.5703125" style="181" customWidth="1"/>
    <col min="3841" max="3841" width="16.28515625" style="181" customWidth="1"/>
    <col min="3842" max="3843" width="0" style="181" hidden="1" customWidth="1"/>
    <col min="3844" max="4089" width="9.140625" style="181"/>
    <col min="4090" max="4090" width="4" style="181" customWidth="1"/>
    <col min="4091" max="4091" width="54.85546875" style="181" customWidth="1"/>
    <col min="4092" max="4092" width="106.7109375" style="181" customWidth="1"/>
    <col min="4093" max="4094" width="0" style="181" hidden="1" customWidth="1"/>
    <col min="4095" max="4095" width="16.28515625" style="181" customWidth="1"/>
    <col min="4096" max="4096" width="11.5703125" style="181" customWidth="1"/>
    <col min="4097" max="4097" width="16.28515625" style="181" customWidth="1"/>
    <col min="4098" max="4099" width="0" style="181" hidden="1" customWidth="1"/>
    <col min="4100" max="4345" width="9.140625" style="181"/>
    <col min="4346" max="4346" width="4" style="181" customWidth="1"/>
    <col min="4347" max="4347" width="54.85546875" style="181" customWidth="1"/>
    <col min="4348" max="4348" width="106.7109375" style="181" customWidth="1"/>
    <col min="4349" max="4350" width="0" style="181" hidden="1" customWidth="1"/>
    <col min="4351" max="4351" width="16.28515625" style="181" customWidth="1"/>
    <col min="4352" max="4352" width="11.5703125" style="181" customWidth="1"/>
    <col min="4353" max="4353" width="16.28515625" style="181" customWidth="1"/>
    <col min="4354" max="4355" width="0" style="181" hidden="1" customWidth="1"/>
    <col min="4356" max="4601" width="9.140625" style="181"/>
    <col min="4602" max="4602" width="4" style="181" customWidth="1"/>
    <col min="4603" max="4603" width="54.85546875" style="181" customWidth="1"/>
    <col min="4604" max="4604" width="106.7109375" style="181" customWidth="1"/>
    <col min="4605" max="4606" width="0" style="181" hidden="1" customWidth="1"/>
    <col min="4607" max="4607" width="16.28515625" style="181" customWidth="1"/>
    <col min="4608" max="4608" width="11.5703125" style="181" customWidth="1"/>
    <col min="4609" max="4609" width="16.28515625" style="181" customWidth="1"/>
    <col min="4610" max="4611" width="0" style="181" hidden="1" customWidth="1"/>
    <col min="4612" max="4857" width="9.140625" style="181"/>
    <col min="4858" max="4858" width="4" style="181" customWidth="1"/>
    <col min="4859" max="4859" width="54.85546875" style="181" customWidth="1"/>
    <col min="4860" max="4860" width="106.7109375" style="181" customWidth="1"/>
    <col min="4861" max="4862" width="0" style="181" hidden="1" customWidth="1"/>
    <col min="4863" max="4863" width="16.28515625" style="181" customWidth="1"/>
    <col min="4864" max="4864" width="11.5703125" style="181" customWidth="1"/>
    <col min="4865" max="4865" width="16.28515625" style="181" customWidth="1"/>
    <col min="4866" max="4867" width="0" style="181" hidden="1" customWidth="1"/>
    <col min="4868" max="5113" width="9.140625" style="181"/>
    <col min="5114" max="5114" width="4" style="181" customWidth="1"/>
    <col min="5115" max="5115" width="54.85546875" style="181" customWidth="1"/>
    <col min="5116" max="5116" width="106.7109375" style="181" customWidth="1"/>
    <col min="5117" max="5118" width="0" style="181" hidden="1" customWidth="1"/>
    <col min="5119" max="5119" width="16.28515625" style="181" customWidth="1"/>
    <col min="5120" max="5120" width="11.5703125" style="181" customWidth="1"/>
    <col min="5121" max="5121" width="16.28515625" style="181" customWidth="1"/>
    <col min="5122" max="5123" width="0" style="181" hidden="1" customWidth="1"/>
    <col min="5124" max="5369" width="9.140625" style="181"/>
    <col min="5370" max="5370" width="4" style="181" customWidth="1"/>
    <col min="5371" max="5371" width="54.85546875" style="181" customWidth="1"/>
    <col min="5372" max="5372" width="106.7109375" style="181" customWidth="1"/>
    <col min="5373" max="5374" width="0" style="181" hidden="1" customWidth="1"/>
    <col min="5375" max="5375" width="16.28515625" style="181" customWidth="1"/>
    <col min="5376" max="5376" width="11.5703125" style="181" customWidth="1"/>
    <col min="5377" max="5377" width="16.28515625" style="181" customWidth="1"/>
    <col min="5378" max="5379" width="0" style="181" hidden="1" customWidth="1"/>
    <col min="5380" max="5625" width="9.140625" style="181"/>
    <col min="5626" max="5626" width="4" style="181" customWidth="1"/>
    <col min="5627" max="5627" width="54.85546875" style="181" customWidth="1"/>
    <col min="5628" max="5628" width="106.7109375" style="181" customWidth="1"/>
    <col min="5629" max="5630" width="0" style="181" hidden="1" customWidth="1"/>
    <col min="5631" max="5631" width="16.28515625" style="181" customWidth="1"/>
    <col min="5632" max="5632" width="11.5703125" style="181" customWidth="1"/>
    <col min="5633" max="5633" width="16.28515625" style="181" customWidth="1"/>
    <col min="5634" max="5635" width="0" style="181" hidden="1" customWidth="1"/>
    <col min="5636" max="5881" width="9.140625" style="181"/>
    <col min="5882" max="5882" width="4" style="181" customWidth="1"/>
    <col min="5883" max="5883" width="54.85546875" style="181" customWidth="1"/>
    <col min="5884" max="5884" width="106.7109375" style="181" customWidth="1"/>
    <col min="5885" max="5886" width="0" style="181" hidden="1" customWidth="1"/>
    <col min="5887" max="5887" width="16.28515625" style="181" customWidth="1"/>
    <col min="5888" max="5888" width="11.5703125" style="181" customWidth="1"/>
    <col min="5889" max="5889" width="16.28515625" style="181" customWidth="1"/>
    <col min="5890" max="5891" width="0" style="181" hidden="1" customWidth="1"/>
    <col min="5892" max="6137" width="9.140625" style="181"/>
    <col min="6138" max="6138" width="4" style="181" customWidth="1"/>
    <col min="6139" max="6139" width="54.85546875" style="181" customWidth="1"/>
    <col min="6140" max="6140" width="106.7109375" style="181" customWidth="1"/>
    <col min="6141" max="6142" width="0" style="181" hidden="1" customWidth="1"/>
    <col min="6143" max="6143" width="16.28515625" style="181" customWidth="1"/>
    <col min="6144" max="6144" width="11.5703125" style="181" customWidth="1"/>
    <col min="6145" max="6145" width="16.28515625" style="181" customWidth="1"/>
    <col min="6146" max="6147" width="0" style="181" hidden="1" customWidth="1"/>
    <col min="6148" max="6393" width="9.140625" style="181"/>
    <col min="6394" max="6394" width="4" style="181" customWidth="1"/>
    <col min="6395" max="6395" width="54.85546875" style="181" customWidth="1"/>
    <col min="6396" max="6396" width="106.7109375" style="181" customWidth="1"/>
    <col min="6397" max="6398" width="0" style="181" hidden="1" customWidth="1"/>
    <col min="6399" max="6399" width="16.28515625" style="181" customWidth="1"/>
    <col min="6400" max="6400" width="11.5703125" style="181" customWidth="1"/>
    <col min="6401" max="6401" width="16.28515625" style="181" customWidth="1"/>
    <col min="6402" max="6403" width="0" style="181" hidden="1" customWidth="1"/>
    <col min="6404" max="6649" width="9.140625" style="181"/>
    <col min="6650" max="6650" width="4" style="181" customWidth="1"/>
    <col min="6651" max="6651" width="54.85546875" style="181" customWidth="1"/>
    <col min="6652" max="6652" width="106.7109375" style="181" customWidth="1"/>
    <col min="6653" max="6654" width="0" style="181" hidden="1" customWidth="1"/>
    <col min="6655" max="6655" width="16.28515625" style="181" customWidth="1"/>
    <col min="6656" max="6656" width="11.5703125" style="181" customWidth="1"/>
    <col min="6657" max="6657" width="16.28515625" style="181" customWidth="1"/>
    <col min="6658" max="6659" width="0" style="181" hidden="1" customWidth="1"/>
    <col min="6660" max="6905" width="9.140625" style="181"/>
    <col min="6906" max="6906" width="4" style="181" customWidth="1"/>
    <col min="6907" max="6907" width="54.85546875" style="181" customWidth="1"/>
    <col min="6908" max="6908" width="106.7109375" style="181" customWidth="1"/>
    <col min="6909" max="6910" width="0" style="181" hidden="1" customWidth="1"/>
    <col min="6911" max="6911" width="16.28515625" style="181" customWidth="1"/>
    <col min="6912" max="6912" width="11.5703125" style="181" customWidth="1"/>
    <col min="6913" max="6913" width="16.28515625" style="181" customWidth="1"/>
    <col min="6914" max="6915" width="0" style="181" hidden="1" customWidth="1"/>
    <col min="6916" max="7161" width="9.140625" style="181"/>
    <col min="7162" max="7162" width="4" style="181" customWidth="1"/>
    <col min="7163" max="7163" width="54.85546875" style="181" customWidth="1"/>
    <col min="7164" max="7164" width="106.7109375" style="181" customWidth="1"/>
    <col min="7165" max="7166" width="0" style="181" hidden="1" customWidth="1"/>
    <col min="7167" max="7167" width="16.28515625" style="181" customWidth="1"/>
    <col min="7168" max="7168" width="11.5703125" style="181" customWidth="1"/>
    <col min="7169" max="7169" width="16.28515625" style="181" customWidth="1"/>
    <col min="7170" max="7171" width="0" style="181" hidden="1" customWidth="1"/>
    <col min="7172" max="7417" width="9.140625" style="181"/>
    <col min="7418" max="7418" width="4" style="181" customWidth="1"/>
    <col min="7419" max="7419" width="54.85546875" style="181" customWidth="1"/>
    <col min="7420" max="7420" width="106.7109375" style="181" customWidth="1"/>
    <col min="7421" max="7422" width="0" style="181" hidden="1" customWidth="1"/>
    <col min="7423" max="7423" width="16.28515625" style="181" customWidth="1"/>
    <col min="7424" max="7424" width="11.5703125" style="181" customWidth="1"/>
    <col min="7425" max="7425" width="16.28515625" style="181" customWidth="1"/>
    <col min="7426" max="7427" width="0" style="181" hidden="1" customWidth="1"/>
    <col min="7428" max="7673" width="9.140625" style="181"/>
    <col min="7674" max="7674" width="4" style="181" customWidth="1"/>
    <col min="7675" max="7675" width="54.85546875" style="181" customWidth="1"/>
    <col min="7676" max="7676" width="106.7109375" style="181" customWidth="1"/>
    <col min="7677" max="7678" width="0" style="181" hidden="1" customWidth="1"/>
    <col min="7679" max="7679" width="16.28515625" style="181" customWidth="1"/>
    <col min="7680" max="7680" width="11.5703125" style="181" customWidth="1"/>
    <col min="7681" max="7681" width="16.28515625" style="181" customWidth="1"/>
    <col min="7682" max="7683" width="0" style="181" hidden="1" customWidth="1"/>
    <col min="7684" max="7929" width="9.140625" style="181"/>
    <col min="7930" max="7930" width="4" style="181" customWidth="1"/>
    <col min="7931" max="7931" width="54.85546875" style="181" customWidth="1"/>
    <col min="7932" max="7932" width="106.7109375" style="181" customWidth="1"/>
    <col min="7933" max="7934" width="0" style="181" hidden="1" customWidth="1"/>
    <col min="7935" max="7935" width="16.28515625" style="181" customWidth="1"/>
    <col min="7936" max="7936" width="11.5703125" style="181" customWidth="1"/>
    <col min="7937" max="7937" width="16.28515625" style="181" customWidth="1"/>
    <col min="7938" max="7939" width="0" style="181" hidden="1" customWidth="1"/>
    <col min="7940" max="8185" width="9.140625" style="181"/>
    <col min="8186" max="8186" width="4" style="181" customWidth="1"/>
    <col min="8187" max="8187" width="54.85546875" style="181" customWidth="1"/>
    <col min="8188" max="8188" width="106.7109375" style="181" customWidth="1"/>
    <col min="8189" max="8190" width="0" style="181" hidden="1" customWidth="1"/>
    <col min="8191" max="8191" width="16.28515625" style="181" customWidth="1"/>
    <col min="8192" max="8192" width="11.5703125" style="181" customWidth="1"/>
    <col min="8193" max="8193" width="16.28515625" style="181" customWidth="1"/>
    <col min="8194" max="8195" width="0" style="181" hidden="1" customWidth="1"/>
    <col min="8196" max="8441" width="9.140625" style="181"/>
    <col min="8442" max="8442" width="4" style="181" customWidth="1"/>
    <col min="8443" max="8443" width="54.85546875" style="181" customWidth="1"/>
    <col min="8444" max="8444" width="106.7109375" style="181" customWidth="1"/>
    <col min="8445" max="8446" width="0" style="181" hidden="1" customWidth="1"/>
    <col min="8447" max="8447" width="16.28515625" style="181" customWidth="1"/>
    <col min="8448" max="8448" width="11.5703125" style="181" customWidth="1"/>
    <col min="8449" max="8449" width="16.28515625" style="181" customWidth="1"/>
    <col min="8450" max="8451" width="0" style="181" hidden="1" customWidth="1"/>
    <col min="8452" max="8697" width="9.140625" style="181"/>
    <col min="8698" max="8698" width="4" style="181" customWidth="1"/>
    <col min="8699" max="8699" width="54.85546875" style="181" customWidth="1"/>
    <col min="8700" max="8700" width="106.7109375" style="181" customWidth="1"/>
    <col min="8701" max="8702" width="0" style="181" hidden="1" customWidth="1"/>
    <col min="8703" max="8703" width="16.28515625" style="181" customWidth="1"/>
    <col min="8704" max="8704" width="11.5703125" style="181" customWidth="1"/>
    <col min="8705" max="8705" width="16.28515625" style="181" customWidth="1"/>
    <col min="8706" max="8707" width="0" style="181" hidden="1" customWidth="1"/>
    <col min="8708" max="8953" width="9.140625" style="181"/>
    <col min="8954" max="8954" width="4" style="181" customWidth="1"/>
    <col min="8955" max="8955" width="54.85546875" style="181" customWidth="1"/>
    <col min="8956" max="8956" width="106.7109375" style="181" customWidth="1"/>
    <col min="8957" max="8958" width="0" style="181" hidden="1" customWidth="1"/>
    <col min="8959" max="8959" width="16.28515625" style="181" customWidth="1"/>
    <col min="8960" max="8960" width="11.5703125" style="181" customWidth="1"/>
    <col min="8961" max="8961" width="16.28515625" style="181" customWidth="1"/>
    <col min="8962" max="8963" width="0" style="181" hidden="1" customWidth="1"/>
    <col min="8964" max="9209" width="9.140625" style="181"/>
    <col min="9210" max="9210" width="4" style="181" customWidth="1"/>
    <col min="9211" max="9211" width="54.85546875" style="181" customWidth="1"/>
    <col min="9212" max="9212" width="106.7109375" style="181" customWidth="1"/>
    <col min="9213" max="9214" width="0" style="181" hidden="1" customWidth="1"/>
    <col min="9215" max="9215" width="16.28515625" style="181" customWidth="1"/>
    <col min="9216" max="9216" width="11.5703125" style="181" customWidth="1"/>
    <col min="9217" max="9217" width="16.28515625" style="181" customWidth="1"/>
    <col min="9218" max="9219" width="0" style="181" hidden="1" customWidth="1"/>
    <col min="9220" max="9465" width="9.140625" style="181"/>
    <col min="9466" max="9466" width="4" style="181" customWidth="1"/>
    <col min="9467" max="9467" width="54.85546875" style="181" customWidth="1"/>
    <col min="9468" max="9468" width="106.7109375" style="181" customWidth="1"/>
    <col min="9469" max="9470" width="0" style="181" hidden="1" customWidth="1"/>
    <col min="9471" max="9471" width="16.28515625" style="181" customWidth="1"/>
    <col min="9472" max="9472" width="11.5703125" style="181" customWidth="1"/>
    <col min="9473" max="9473" width="16.28515625" style="181" customWidth="1"/>
    <col min="9474" max="9475" width="0" style="181" hidden="1" customWidth="1"/>
    <col min="9476" max="9721" width="9.140625" style="181"/>
    <col min="9722" max="9722" width="4" style="181" customWidth="1"/>
    <col min="9723" max="9723" width="54.85546875" style="181" customWidth="1"/>
    <col min="9724" max="9724" width="106.7109375" style="181" customWidth="1"/>
    <col min="9725" max="9726" width="0" style="181" hidden="1" customWidth="1"/>
    <col min="9727" max="9727" width="16.28515625" style="181" customWidth="1"/>
    <col min="9728" max="9728" width="11.5703125" style="181" customWidth="1"/>
    <col min="9729" max="9729" width="16.28515625" style="181" customWidth="1"/>
    <col min="9730" max="9731" width="0" style="181" hidden="1" customWidth="1"/>
    <col min="9732" max="9977" width="9.140625" style="181"/>
    <col min="9978" max="9978" width="4" style="181" customWidth="1"/>
    <col min="9979" max="9979" width="54.85546875" style="181" customWidth="1"/>
    <col min="9980" max="9980" width="106.7109375" style="181" customWidth="1"/>
    <col min="9981" max="9982" width="0" style="181" hidden="1" customWidth="1"/>
    <col min="9983" max="9983" width="16.28515625" style="181" customWidth="1"/>
    <col min="9984" max="9984" width="11.5703125" style="181" customWidth="1"/>
    <col min="9985" max="9985" width="16.28515625" style="181" customWidth="1"/>
    <col min="9986" max="9987" width="0" style="181" hidden="1" customWidth="1"/>
    <col min="9988" max="10233" width="9.140625" style="181"/>
    <col min="10234" max="10234" width="4" style="181" customWidth="1"/>
    <col min="10235" max="10235" width="54.85546875" style="181" customWidth="1"/>
    <col min="10236" max="10236" width="106.7109375" style="181" customWidth="1"/>
    <col min="10237" max="10238" width="0" style="181" hidden="1" customWidth="1"/>
    <col min="10239" max="10239" width="16.28515625" style="181" customWidth="1"/>
    <col min="10240" max="10240" width="11.5703125" style="181" customWidth="1"/>
    <col min="10241" max="10241" width="16.28515625" style="181" customWidth="1"/>
    <col min="10242" max="10243" width="0" style="181" hidden="1" customWidth="1"/>
    <col min="10244" max="10489" width="9.140625" style="181"/>
    <col min="10490" max="10490" width="4" style="181" customWidth="1"/>
    <col min="10491" max="10491" width="54.85546875" style="181" customWidth="1"/>
    <col min="10492" max="10492" width="106.7109375" style="181" customWidth="1"/>
    <col min="10493" max="10494" width="0" style="181" hidden="1" customWidth="1"/>
    <col min="10495" max="10495" width="16.28515625" style="181" customWidth="1"/>
    <col min="10496" max="10496" width="11.5703125" style="181" customWidth="1"/>
    <col min="10497" max="10497" width="16.28515625" style="181" customWidth="1"/>
    <col min="10498" max="10499" width="0" style="181" hidden="1" customWidth="1"/>
    <col min="10500" max="10745" width="9.140625" style="181"/>
    <col min="10746" max="10746" width="4" style="181" customWidth="1"/>
    <col min="10747" max="10747" width="54.85546875" style="181" customWidth="1"/>
    <col min="10748" max="10748" width="106.7109375" style="181" customWidth="1"/>
    <col min="10749" max="10750" width="0" style="181" hidden="1" customWidth="1"/>
    <col min="10751" max="10751" width="16.28515625" style="181" customWidth="1"/>
    <col min="10752" max="10752" width="11.5703125" style="181" customWidth="1"/>
    <col min="10753" max="10753" width="16.28515625" style="181" customWidth="1"/>
    <col min="10754" max="10755" width="0" style="181" hidden="1" customWidth="1"/>
    <col min="10756" max="11001" width="9.140625" style="181"/>
    <col min="11002" max="11002" width="4" style="181" customWidth="1"/>
    <col min="11003" max="11003" width="54.85546875" style="181" customWidth="1"/>
    <col min="11004" max="11004" width="106.7109375" style="181" customWidth="1"/>
    <col min="11005" max="11006" width="0" style="181" hidden="1" customWidth="1"/>
    <col min="11007" max="11007" width="16.28515625" style="181" customWidth="1"/>
    <col min="11008" max="11008" width="11.5703125" style="181" customWidth="1"/>
    <col min="11009" max="11009" width="16.28515625" style="181" customWidth="1"/>
    <col min="11010" max="11011" width="0" style="181" hidden="1" customWidth="1"/>
    <col min="11012" max="11257" width="9.140625" style="181"/>
    <col min="11258" max="11258" width="4" style="181" customWidth="1"/>
    <col min="11259" max="11259" width="54.85546875" style="181" customWidth="1"/>
    <col min="11260" max="11260" width="106.7109375" style="181" customWidth="1"/>
    <col min="11261" max="11262" width="0" style="181" hidden="1" customWidth="1"/>
    <col min="11263" max="11263" width="16.28515625" style="181" customWidth="1"/>
    <col min="11264" max="11264" width="11.5703125" style="181" customWidth="1"/>
    <col min="11265" max="11265" width="16.28515625" style="181" customWidth="1"/>
    <col min="11266" max="11267" width="0" style="181" hidden="1" customWidth="1"/>
    <col min="11268" max="11513" width="9.140625" style="181"/>
    <col min="11514" max="11514" width="4" style="181" customWidth="1"/>
    <col min="11515" max="11515" width="54.85546875" style="181" customWidth="1"/>
    <col min="11516" max="11516" width="106.7109375" style="181" customWidth="1"/>
    <col min="11517" max="11518" width="0" style="181" hidden="1" customWidth="1"/>
    <col min="11519" max="11519" width="16.28515625" style="181" customWidth="1"/>
    <col min="11520" max="11520" width="11.5703125" style="181" customWidth="1"/>
    <col min="11521" max="11521" width="16.28515625" style="181" customWidth="1"/>
    <col min="11522" max="11523" width="0" style="181" hidden="1" customWidth="1"/>
    <col min="11524" max="11769" width="9.140625" style="181"/>
    <col min="11770" max="11770" width="4" style="181" customWidth="1"/>
    <col min="11771" max="11771" width="54.85546875" style="181" customWidth="1"/>
    <col min="11772" max="11772" width="106.7109375" style="181" customWidth="1"/>
    <col min="11773" max="11774" width="0" style="181" hidden="1" customWidth="1"/>
    <col min="11775" max="11775" width="16.28515625" style="181" customWidth="1"/>
    <col min="11776" max="11776" width="11.5703125" style="181" customWidth="1"/>
    <col min="11777" max="11777" width="16.28515625" style="181" customWidth="1"/>
    <col min="11778" max="11779" width="0" style="181" hidden="1" customWidth="1"/>
    <col min="11780" max="12025" width="9.140625" style="181"/>
    <col min="12026" max="12026" width="4" style="181" customWidth="1"/>
    <col min="12027" max="12027" width="54.85546875" style="181" customWidth="1"/>
    <col min="12028" max="12028" width="106.7109375" style="181" customWidth="1"/>
    <col min="12029" max="12030" width="0" style="181" hidden="1" customWidth="1"/>
    <col min="12031" max="12031" width="16.28515625" style="181" customWidth="1"/>
    <col min="12032" max="12032" width="11.5703125" style="181" customWidth="1"/>
    <col min="12033" max="12033" width="16.28515625" style="181" customWidth="1"/>
    <col min="12034" max="12035" width="0" style="181" hidden="1" customWidth="1"/>
    <col min="12036" max="12281" width="9.140625" style="181"/>
    <col min="12282" max="12282" width="4" style="181" customWidth="1"/>
    <col min="12283" max="12283" width="54.85546875" style="181" customWidth="1"/>
    <col min="12284" max="12284" width="106.7109375" style="181" customWidth="1"/>
    <col min="12285" max="12286" width="0" style="181" hidden="1" customWidth="1"/>
    <col min="12287" max="12287" width="16.28515625" style="181" customWidth="1"/>
    <col min="12288" max="12288" width="11.5703125" style="181" customWidth="1"/>
    <col min="12289" max="12289" width="16.28515625" style="181" customWidth="1"/>
    <col min="12290" max="12291" width="0" style="181" hidden="1" customWidth="1"/>
    <col min="12292" max="12537" width="9.140625" style="181"/>
    <col min="12538" max="12538" width="4" style="181" customWidth="1"/>
    <col min="12539" max="12539" width="54.85546875" style="181" customWidth="1"/>
    <col min="12540" max="12540" width="106.7109375" style="181" customWidth="1"/>
    <col min="12541" max="12542" width="0" style="181" hidden="1" customWidth="1"/>
    <col min="12543" max="12543" width="16.28515625" style="181" customWidth="1"/>
    <col min="12544" max="12544" width="11.5703125" style="181" customWidth="1"/>
    <col min="12545" max="12545" width="16.28515625" style="181" customWidth="1"/>
    <col min="12546" max="12547" width="0" style="181" hidden="1" customWidth="1"/>
    <col min="12548" max="12793" width="9.140625" style="181"/>
    <col min="12794" max="12794" width="4" style="181" customWidth="1"/>
    <col min="12795" max="12795" width="54.85546875" style="181" customWidth="1"/>
    <col min="12796" max="12796" width="106.7109375" style="181" customWidth="1"/>
    <col min="12797" max="12798" width="0" style="181" hidden="1" customWidth="1"/>
    <col min="12799" max="12799" width="16.28515625" style="181" customWidth="1"/>
    <col min="12800" max="12800" width="11.5703125" style="181" customWidth="1"/>
    <col min="12801" max="12801" width="16.28515625" style="181" customWidth="1"/>
    <col min="12802" max="12803" width="0" style="181" hidden="1" customWidth="1"/>
    <col min="12804" max="13049" width="9.140625" style="181"/>
    <col min="13050" max="13050" width="4" style="181" customWidth="1"/>
    <col min="13051" max="13051" width="54.85546875" style="181" customWidth="1"/>
    <col min="13052" max="13052" width="106.7109375" style="181" customWidth="1"/>
    <col min="13053" max="13054" width="0" style="181" hidden="1" customWidth="1"/>
    <col min="13055" max="13055" width="16.28515625" style="181" customWidth="1"/>
    <col min="13056" max="13056" width="11.5703125" style="181" customWidth="1"/>
    <col min="13057" max="13057" width="16.28515625" style="181" customWidth="1"/>
    <col min="13058" max="13059" width="0" style="181" hidden="1" customWidth="1"/>
    <col min="13060" max="13305" width="9.140625" style="181"/>
    <col min="13306" max="13306" width="4" style="181" customWidth="1"/>
    <col min="13307" max="13307" width="54.85546875" style="181" customWidth="1"/>
    <col min="13308" max="13308" width="106.7109375" style="181" customWidth="1"/>
    <col min="13309" max="13310" width="0" style="181" hidden="1" customWidth="1"/>
    <col min="13311" max="13311" width="16.28515625" style="181" customWidth="1"/>
    <col min="13312" max="13312" width="11.5703125" style="181" customWidth="1"/>
    <col min="13313" max="13313" width="16.28515625" style="181" customWidth="1"/>
    <col min="13314" max="13315" width="0" style="181" hidden="1" customWidth="1"/>
    <col min="13316" max="13561" width="9.140625" style="181"/>
    <col min="13562" max="13562" width="4" style="181" customWidth="1"/>
    <col min="13563" max="13563" width="54.85546875" style="181" customWidth="1"/>
    <col min="13564" max="13564" width="106.7109375" style="181" customWidth="1"/>
    <col min="13565" max="13566" width="0" style="181" hidden="1" customWidth="1"/>
    <col min="13567" max="13567" width="16.28515625" style="181" customWidth="1"/>
    <col min="13568" max="13568" width="11.5703125" style="181" customWidth="1"/>
    <col min="13569" max="13569" width="16.28515625" style="181" customWidth="1"/>
    <col min="13570" max="13571" width="0" style="181" hidden="1" customWidth="1"/>
    <col min="13572" max="13817" width="9.140625" style="181"/>
    <col min="13818" max="13818" width="4" style="181" customWidth="1"/>
    <col min="13819" max="13819" width="54.85546875" style="181" customWidth="1"/>
    <col min="13820" max="13820" width="106.7109375" style="181" customWidth="1"/>
    <col min="13821" max="13822" width="0" style="181" hidden="1" customWidth="1"/>
    <col min="13823" max="13823" width="16.28515625" style="181" customWidth="1"/>
    <col min="13824" max="13824" width="11.5703125" style="181" customWidth="1"/>
    <col min="13825" max="13825" width="16.28515625" style="181" customWidth="1"/>
    <col min="13826" max="13827" width="0" style="181" hidden="1" customWidth="1"/>
    <col min="13828" max="14073" width="9.140625" style="181"/>
    <col min="14074" max="14074" width="4" style="181" customWidth="1"/>
    <col min="14075" max="14075" width="54.85546875" style="181" customWidth="1"/>
    <col min="14076" max="14076" width="106.7109375" style="181" customWidth="1"/>
    <col min="14077" max="14078" width="0" style="181" hidden="1" customWidth="1"/>
    <col min="14079" max="14079" width="16.28515625" style="181" customWidth="1"/>
    <col min="14080" max="14080" width="11.5703125" style="181" customWidth="1"/>
    <col min="14081" max="14081" width="16.28515625" style="181" customWidth="1"/>
    <col min="14082" max="14083" width="0" style="181" hidden="1" customWidth="1"/>
    <col min="14084" max="14329" width="9.140625" style="181"/>
    <col min="14330" max="14330" width="4" style="181" customWidth="1"/>
    <col min="14331" max="14331" width="54.85546875" style="181" customWidth="1"/>
    <col min="14332" max="14332" width="106.7109375" style="181" customWidth="1"/>
    <col min="14333" max="14334" width="0" style="181" hidden="1" customWidth="1"/>
    <col min="14335" max="14335" width="16.28515625" style="181" customWidth="1"/>
    <col min="14336" max="14336" width="11.5703125" style="181" customWidth="1"/>
    <col min="14337" max="14337" width="16.28515625" style="181" customWidth="1"/>
    <col min="14338" max="14339" width="0" style="181" hidden="1" customWidth="1"/>
    <col min="14340" max="14585" width="9.140625" style="181"/>
    <col min="14586" max="14586" width="4" style="181" customWidth="1"/>
    <col min="14587" max="14587" width="54.85546875" style="181" customWidth="1"/>
    <col min="14588" max="14588" width="106.7109375" style="181" customWidth="1"/>
    <col min="14589" max="14590" width="0" style="181" hidden="1" customWidth="1"/>
    <col min="14591" max="14591" width="16.28515625" style="181" customWidth="1"/>
    <col min="14592" max="14592" width="11.5703125" style="181" customWidth="1"/>
    <col min="14593" max="14593" width="16.28515625" style="181" customWidth="1"/>
    <col min="14594" max="14595" width="0" style="181" hidden="1" customWidth="1"/>
    <col min="14596" max="14841" width="9.140625" style="181"/>
    <col min="14842" max="14842" width="4" style="181" customWidth="1"/>
    <col min="14843" max="14843" width="54.85546875" style="181" customWidth="1"/>
    <col min="14844" max="14844" width="106.7109375" style="181" customWidth="1"/>
    <col min="14845" max="14846" width="0" style="181" hidden="1" customWidth="1"/>
    <col min="14847" max="14847" width="16.28515625" style="181" customWidth="1"/>
    <col min="14848" max="14848" width="11.5703125" style="181" customWidth="1"/>
    <col min="14849" max="14849" width="16.28515625" style="181" customWidth="1"/>
    <col min="14850" max="14851" width="0" style="181" hidden="1" customWidth="1"/>
    <col min="14852" max="15097" width="9.140625" style="181"/>
    <col min="15098" max="15098" width="4" style="181" customWidth="1"/>
    <col min="15099" max="15099" width="54.85546875" style="181" customWidth="1"/>
    <col min="15100" max="15100" width="106.7109375" style="181" customWidth="1"/>
    <col min="15101" max="15102" width="0" style="181" hidden="1" customWidth="1"/>
    <col min="15103" max="15103" width="16.28515625" style="181" customWidth="1"/>
    <col min="15104" max="15104" width="11.5703125" style="181" customWidth="1"/>
    <col min="15105" max="15105" width="16.28515625" style="181" customWidth="1"/>
    <col min="15106" max="15107" width="0" style="181" hidden="1" customWidth="1"/>
    <col min="15108" max="15353" width="9.140625" style="181"/>
    <col min="15354" max="15354" width="4" style="181" customWidth="1"/>
    <col min="15355" max="15355" width="54.85546875" style="181" customWidth="1"/>
    <col min="15356" max="15356" width="106.7109375" style="181" customWidth="1"/>
    <col min="15357" max="15358" width="0" style="181" hidden="1" customWidth="1"/>
    <col min="15359" max="15359" width="16.28515625" style="181" customWidth="1"/>
    <col min="15360" max="15360" width="11.5703125" style="181" customWidth="1"/>
    <col min="15361" max="15361" width="16.28515625" style="181" customWidth="1"/>
    <col min="15362" max="15363" width="0" style="181" hidden="1" customWidth="1"/>
    <col min="15364" max="15609" width="9.140625" style="181"/>
    <col min="15610" max="15610" width="4" style="181" customWidth="1"/>
    <col min="15611" max="15611" width="54.85546875" style="181" customWidth="1"/>
    <col min="15612" max="15612" width="106.7109375" style="181" customWidth="1"/>
    <col min="15613" max="15614" width="0" style="181" hidden="1" customWidth="1"/>
    <col min="15615" max="15615" width="16.28515625" style="181" customWidth="1"/>
    <col min="15616" max="15616" width="11.5703125" style="181" customWidth="1"/>
    <col min="15617" max="15617" width="16.28515625" style="181" customWidth="1"/>
    <col min="15618" max="15619" width="0" style="181" hidden="1" customWidth="1"/>
    <col min="15620" max="15865" width="9.140625" style="181"/>
    <col min="15866" max="15866" width="4" style="181" customWidth="1"/>
    <col min="15867" max="15867" width="54.85546875" style="181" customWidth="1"/>
    <col min="15868" max="15868" width="106.7109375" style="181" customWidth="1"/>
    <col min="15869" max="15870" width="0" style="181" hidden="1" customWidth="1"/>
    <col min="15871" max="15871" width="16.28515625" style="181" customWidth="1"/>
    <col min="15872" max="15872" width="11.5703125" style="181" customWidth="1"/>
    <col min="15873" max="15873" width="16.28515625" style="181" customWidth="1"/>
    <col min="15874" max="15875" width="0" style="181" hidden="1" customWidth="1"/>
    <col min="15876" max="16121" width="9.140625" style="181"/>
    <col min="16122" max="16122" width="4" style="181" customWidth="1"/>
    <col min="16123" max="16123" width="54.85546875" style="181" customWidth="1"/>
    <col min="16124" max="16124" width="106.7109375" style="181" customWidth="1"/>
    <col min="16125" max="16126" width="0" style="181" hidden="1" customWidth="1"/>
    <col min="16127" max="16127" width="16.28515625" style="181" customWidth="1"/>
    <col min="16128" max="16128" width="11.5703125" style="181" customWidth="1"/>
    <col min="16129" max="16129" width="16.28515625" style="181" customWidth="1"/>
    <col min="16130" max="16131" width="0" style="181" hidden="1" customWidth="1"/>
    <col min="16132" max="16384" width="9.140625" style="181"/>
  </cols>
  <sheetData>
    <row r="1" spans="1:6" x14ac:dyDescent="0.2">
      <c r="A1" s="449" t="s">
        <v>104</v>
      </c>
      <c r="B1" s="449"/>
      <c r="C1" s="449"/>
      <c r="D1" s="449"/>
      <c r="E1" s="181"/>
    </row>
    <row r="2" spans="1:6" x14ac:dyDescent="0.2">
      <c r="A2" s="449" t="s">
        <v>105</v>
      </c>
      <c r="B2" s="449"/>
      <c r="C2" s="449"/>
      <c r="D2" s="449"/>
      <c r="E2" s="181"/>
    </row>
    <row r="3" spans="1:6" x14ac:dyDescent="0.2">
      <c r="A3" s="449" t="s">
        <v>106</v>
      </c>
      <c r="B3" s="449"/>
      <c r="C3" s="449"/>
      <c r="D3" s="449"/>
      <c r="E3" s="181"/>
    </row>
    <row r="4" spans="1:6" x14ac:dyDescent="0.2">
      <c r="A4" s="449" t="s">
        <v>107</v>
      </c>
      <c r="B4" s="449"/>
      <c r="C4" s="449"/>
      <c r="D4" s="449"/>
      <c r="E4" s="181"/>
    </row>
    <row r="5" spans="1:6" x14ac:dyDescent="0.2">
      <c r="A5" s="449" t="s">
        <v>502</v>
      </c>
      <c r="B5" s="449"/>
      <c r="C5" s="449"/>
      <c r="D5" s="449"/>
      <c r="E5" s="181"/>
    </row>
    <row r="6" spans="1:6" x14ac:dyDescent="0.2">
      <c r="A6" s="449" t="s">
        <v>108</v>
      </c>
      <c r="B6" s="449"/>
      <c r="C6" s="449"/>
      <c r="D6" s="449"/>
      <c r="E6" s="181"/>
    </row>
    <row r="7" spans="1:6" x14ac:dyDescent="0.2">
      <c r="A7" s="449" t="s">
        <v>107</v>
      </c>
      <c r="B7" s="449"/>
      <c r="C7" s="449"/>
      <c r="D7" s="449"/>
      <c r="E7" s="181"/>
    </row>
    <row r="8" spans="1:6" x14ac:dyDescent="0.2">
      <c r="A8" s="449" t="s">
        <v>503</v>
      </c>
      <c r="B8" s="449"/>
      <c r="C8" s="449"/>
      <c r="D8" s="449"/>
      <c r="E8" s="181"/>
    </row>
    <row r="9" spans="1:6" ht="12.75" x14ac:dyDescent="0.2">
      <c r="A9" s="468"/>
      <c r="B9" s="468"/>
      <c r="C9" s="468"/>
      <c r="D9" s="468"/>
      <c r="E9" s="181"/>
    </row>
    <row r="10" spans="1:6" ht="12.75" x14ac:dyDescent="0.2">
      <c r="A10" s="452"/>
      <c r="B10" s="452"/>
      <c r="C10" s="452"/>
      <c r="D10" s="452"/>
      <c r="E10" s="181"/>
    </row>
    <row r="11" spans="1:6" x14ac:dyDescent="0.2">
      <c r="A11" s="453" t="s">
        <v>511</v>
      </c>
      <c r="B11" s="453"/>
      <c r="C11" s="453"/>
      <c r="D11" s="453"/>
      <c r="E11" s="181"/>
    </row>
    <row r="12" spans="1:6" x14ac:dyDescent="0.2">
      <c r="A12" s="453" t="s">
        <v>680</v>
      </c>
      <c r="B12" s="453"/>
      <c r="C12" s="453"/>
      <c r="D12" s="453"/>
      <c r="E12" s="181"/>
    </row>
    <row r="13" spans="1:6" x14ac:dyDescent="0.2">
      <c r="A13" s="344"/>
      <c r="B13" s="344"/>
      <c r="C13" s="464"/>
      <c r="D13" s="464"/>
      <c r="E13" s="181"/>
    </row>
    <row r="14" spans="1:6" ht="12" customHeight="1" x14ac:dyDescent="0.2">
      <c r="A14" s="465" t="s">
        <v>512</v>
      </c>
      <c r="B14" s="465" t="s">
        <v>513</v>
      </c>
      <c r="C14" s="465" t="s">
        <v>514</v>
      </c>
      <c r="D14" s="466" t="s">
        <v>678</v>
      </c>
      <c r="E14" s="466" t="s">
        <v>679</v>
      </c>
    </row>
    <row r="15" spans="1:6" s="183" customFormat="1" ht="16.5" customHeight="1" x14ac:dyDescent="0.2">
      <c r="A15" s="465"/>
      <c r="B15" s="465"/>
      <c r="C15" s="465"/>
      <c r="D15" s="467" t="s">
        <v>515</v>
      </c>
      <c r="E15" s="467" t="s">
        <v>515</v>
      </c>
    </row>
    <row r="16" spans="1:6" x14ac:dyDescent="0.2">
      <c r="A16" s="461" t="s">
        <v>516</v>
      </c>
      <c r="B16" s="462"/>
      <c r="C16" s="463"/>
      <c r="D16" s="184">
        <f>D17+D24+D30+D35+D39+D42+D43+D44+D45+D48+D49+D50+D51+D52+D53+D54+D55+D56+D57</f>
        <v>380310.40440000012</v>
      </c>
      <c r="E16" s="184">
        <f>E17+E24+E30+E35+E39+E42+E43+E44+E45+E48+E49+E50+E51+E52+E53+E54+E55+E56+E57</f>
        <v>372258.16300000018</v>
      </c>
      <c r="F16" s="371"/>
    </row>
    <row r="17" spans="1:5" ht="33.75" customHeight="1" x14ac:dyDescent="0.2">
      <c r="A17" s="458">
        <v>1</v>
      </c>
      <c r="B17" s="455" t="s">
        <v>239</v>
      </c>
      <c r="C17" s="185" t="s">
        <v>517</v>
      </c>
      <c r="D17" s="186">
        <f>D18+D19+D20+D21+D22+D23</f>
        <v>302635.55240000004</v>
      </c>
      <c r="E17" s="186">
        <f>E18+E19+E20+E21+E22+E23</f>
        <v>296645.9558</v>
      </c>
    </row>
    <row r="18" spans="1:5" x14ac:dyDescent="0.2">
      <c r="A18" s="459"/>
      <c r="B18" s="456"/>
      <c r="C18" s="187" t="s">
        <v>518</v>
      </c>
      <c r="D18" s="188">
        <f>'ПР 8 ведом'!G169+'ПР 8 ведом'!G170+'ПР 8 ведом'!G173+'ПР 8 ведом'!G174+'ПР 8 ведом'!G177+'ПР 8 ведом'!G180+'ПР 8 ведом'!G181+'ПР 8 ведом'!G185+'ПР 8 ведом'!G186+'ПР 8 ведом'!G189+'ПР 8 ведом'!G192+'ПР 8 ведом'!G300</f>
        <v>75719.744000000006</v>
      </c>
      <c r="E18" s="188">
        <f>'ПР 8 ведом'!H169+'ПР 8 ведом'!H170+'ПР 8 ведом'!H173+'ПР 8 ведом'!H174+'ПР 8 ведом'!H177+'ПР 8 ведом'!H180+'ПР 8 ведом'!H181+'ПР 8 ведом'!H185+'ПР 8 ведом'!H186+'ПР 8 ведом'!H189+'ПР 8 ведом'!H192+'ПР 8 ведом'!H300</f>
        <v>67352.312000000005</v>
      </c>
    </row>
    <row r="19" spans="1:5" x14ac:dyDescent="0.2">
      <c r="A19" s="459"/>
      <c r="B19" s="456"/>
      <c r="C19" s="187" t="s">
        <v>519</v>
      </c>
      <c r="D19" s="188">
        <f>'ПР 8 ведом'!G206+'ПР 8 ведом'!G207+'ПР 8 ведом'!G210+'ПР 8 ведом'!G212+'ПР 8 ведом'!G215+'ПР 8 ведом'!G216+'ПР 8 ведом'!G220+'ПР 8 ведом'!G221+'ПР 8 ведом'!G224+'ПР 8 ведом'!G227+'ПР 8 ведом'!G229+'ПР 8 ведом'!G243</f>
        <v>173395.96280000001</v>
      </c>
      <c r="E19" s="188">
        <f>'ПР 8 ведом'!H206+'ПР 8 ведом'!H207+'ПР 8 ведом'!H210+'ПР 8 ведом'!H212+'ПР 8 ведом'!H215+'ПР 8 ведом'!H216+'ПР 8 ведом'!H220+'ПР 8 ведом'!H221+'ПР 8 ведом'!H224+'ПР 8 ведом'!H227+'ПР 8 ведом'!H229+'ПР 8 ведом'!H243</f>
        <v>174132.50659999999</v>
      </c>
    </row>
    <row r="20" spans="1:5" x14ac:dyDescent="0.2">
      <c r="A20" s="459"/>
      <c r="B20" s="456"/>
      <c r="C20" s="187" t="s">
        <v>520</v>
      </c>
      <c r="D20" s="188">
        <f>'ПР 8 ведом'!G22+'ПР 8 ведом'!G248</f>
        <v>41863.691200000001</v>
      </c>
      <c r="E20" s="188">
        <f>'ПР 8 ведом'!H22+'ПР 8 ведом'!H248</f>
        <v>41136.006400000006</v>
      </c>
    </row>
    <row r="21" spans="1:5" x14ac:dyDescent="0.2">
      <c r="A21" s="459"/>
      <c r="B21" s="456"/>
      <c r="C21" s="187" t="s">
        <v>521</v>
      </c>
      <c r="D21" s="188">
        <f>'ПР 8 ведом'!G260+'ПР 8 ведом'!G262</f>
        <v>2164.4</v>
      </c>
      <c r="E21" s="188">
        <f>'ПР 8 ведом'!H260+'ПР 8 ведом'!H262</f>
        <v>2173.4</v>
      </c>
    </row>
    <row r="22" spans="1:5" ht="22.5" x14ac:dyDescent="0.2">
      <c r="A22" s="459"/>
      <c r="B22" s="456"/>
      <c r="C22" s="187" t="s">
        <v>522</v>
      </c>
      <c r="D22" s="188">
        <f>'ПР 8 ведом'!G27+'ПР 8 ведом'!G197+'ПР 8 ведом'!G200+'ПР 8 ведом'!G234+'ПР 8 ведом'!G239+'ПР 8 ведом'!G253</f>
        <v>640.3492</v>
      </c>
      <c r="E22" s="188">
        <f>'ПР 8 ведом'!H27+'ПР 8 ведом'!H197+'ПР 8 ведом'!H200+'ПР 8 ведом'!H234+'ПР 8 ведом'!H239+'ПР 8 ведом'!H253</f>
        <v>630.3574000000001</v>
      </c>
    </row>
    <row r="23" spans="1:5" ht="22.5" x14ac:dyDescent="0.2">
      <c r="A23" s="460"/>
      <c r="B23" s="457"/>
      <c r="C23" s="187" t="s">
        <v>523</v>
      </c>
      <c r="D23" s="188">
        <f>'ПР 8 ведом'!G268+'ПР 8 ведом'!G269+'ПР 8 ведом'!G273+'ПР 8 ведом'!G274+'ПР 8 ведом'!G277+'ПР 8 ведом'!G280+'ПР 8 ведом'!G281+'ПР 8 ведом'!G284+'ПР 8 ведом'!G285+'ПР 8 ведом'!G286+'ПР 8 ведом'!G290+'ПР 8 ведом'!G292</f>
        <v>8851.4051999999992</v>
      </c>
      <c r="E23" s="188">
        <f>'ПР 8 ведом'!H268+'ПР 8 ведом'!H269+'ПР 8 ведом'!H273+'ПР 8 ведом'!H274+'ПР 8 ведом'!H277+'ПР 8 ведом'!H280+'ПР 8 ведом'!H281+'ПР 8 ведом'!H284+'ПР 8 ведом'!H285+'ПР 8 ведом'!H286+'ПР 8 ведом'!H290+'ПР 8 ведом'!H292</f>
        <v>11221.373400000002</v>
      </c>
    </row>
    <row r="24" spans="1:5" ht="33.75" customHeight="1" x14ac:dyDescent="0.2">
      <c r="A24" s="458">
        <v>2</v>
      </c>
      <c r="B24" s="455" t="s">
        <v>524</v>
      </c>
      <c r="C24" s="189" t="s">
        <v>525</v>
      </c>
      <c r="D24" s="190">
        <f>D25+D26+D27+D28+D29</f>
        <v>34884.567999999999</v>
      </c>
      <c r="E24" s="190">
        <f>E25+E26+E27+E28+E29</f>
        <v>34180.566800000001</v>
      </c>
    </row>
    <row r="25" spans="1:5" x14ac:dyDescent="0.2">
      <c r="A25" s="459"/>
      <c r="B25" s="456"/>
      <c r="C25" s="122" t="s">
        <v>526</v>
      </c>
      <c r="D25" s="191">
        <f>'ПР 8 ведом'!G31</f>
        <v>9543.8647999999994</v>
      </c>
      <c r="E25" s="191">
        <f>'ПР 8 ведом'!H31</f>
        <v>9351.2756000000008</v>
      </c>
    </row>
    <row r="26" spans="1:5" x14ac:dyDescent="0.2">
      <c r="A26" s="459"/>
      <c r="B26" s="456"/>
      <c r="C26" s="122" t="s">
        <v>527</v>
      </c>
      <c r="D26" s="191">
        <f>'ПР 8 ведом'!G40+'ПР 8 ведом'!G41+'ПР 8 ведом'!G44</f>
        <v>15857.583599999998</v>
      </c>
      <c r="E26" s="191">
        <f>'ПР 8 ведом'!H40+'ПР 8 ведом'!H41+'ПР 8 ведом'!H44</f>
        <v>15537.535000000002</v>
      </c>
    </row>
    <row r="27" spans="1:5" hidden="1" x14ac:dyDescent="0.2">
      <c r="A27" s="459"/>
      <c r="B27" s="456"/>
      <c r="C27" s="122" t="s">
        <v>528</v>
      </c>
      <c r="D27" s="191"/>
      <c r="E27" s="191"/>
    </row>
    <row r="28" spans="1:5" x14ac:dyDescent="0.2">
      <c r="A28" s="459"/>
      <c r="B28" s="456"/>
      <c r="C28" s="122" t="s">
        <v>529</v>
      </c>
      <c r="D28" s="191">
        <f>'ПР 8 ведом'!G67</f>
        <v>196.24</v>
      </c>
      <c r="E28" s="191">
        <f>'ПР 8 ведом'!H67</f>
        <v>192.28000000000003</v>
      </c>
    </row>
    <row r="29" spans="1:5" x14ac:dyDescent="0.2">
      <c r="A29" s="460"/>
      <c r="B29" s="457"/>
      <c r="C29" s="122" t="s">
        <v>530</v>
      </c>
      <c r="D29" s="191">
        <f>'ПР 8 ведом'!G54+'ПР 8 ведом'!G57+'ПР 8 ведом'!G72+'ПР 8 ведом'!G73+'ПР 8 ведом'!G77+'ПР 8 ведом'!G78+'ПР 8 ведом'!G81+'ПР 8 ведом'!G82</f>
        <v>9286.8796000000002</v>
      </c>
      <c r="E29" s="191">
        <f>'ПР 8 ведом'!H54+'ПР 8 ведом'!H57+'ПР 8 ведом'!H72+'ПР 8 ведом'!H73+'ПР 8 ведом'!H77+'ПР 8 ведом'!H78+'ПР 8 ведом'!H81+'ПР 8 ведом'!H82</f>
        <v>9099.4761999999992</v>
      </c>
    </row>
    <row r="30" spans="1:5" ht="22.5" customHeight="1" x14ac:dyDescent="0.2">
      <c r="A30" s="458">
        <v>3</v>
      </c>
      <c r="B30" s="455" t="s">
        <v>531</v>
      </c>
      <c r="C30" s="189" t="s">
        <v>532</v>
      </c>
      <c r="D30" s="190">
        <f>D31+D32+D33+D34</f>
        <v>2649.098</v>
      </c>
      <c r="E30" s="190">
        <f>E31+E32+E33+E34</f>
        <v>2595.7016000000003</v>
      </c>
    </row>
    <row r="31" spans="1:5" x14ac:dyDescent="0.2">
      <c r="A31" s="459"/>
      <c r="B31" s="456"/>
      <c r="C31" s="192" t="s">
        <v>533</v>
      </c>
      <c r="D31" s="191">
        <f>'ПР 8 ведом'!G323</f>
        <v>371.81</v>
      </c>
      <c r="E31" s="191">
        <f>'ПР 8 ведом'!H323</f>
        <v>384.56000000000006</v>
      </c>
    </row>
    <row r="32" spans="1:5" x14ac:dyDescent="0.2">
      <c r="A32" s="459"/>
      <c r="B32" s="456"/>
      <c r="C32" s="192" t="s">
        <v>534</v>
      </c>
      <c r="D32" s="191">
        <f>'ПР 8 ведом'!G344</f>
        <v>59.050400000000003</v>
      </c>
      <c r="E32" s="191">
        <f>'ПР 8 ведом'!H344</f>
        <v>57.858800000000009</v>
      </c>
    </row>
    <row r="33" spans="1:5" x14ac:dyDescent="0.2">
      <c r="A33" s="459"/>
      <c r="B33" s="456"/>
      <c r="C33" s="192" t="s">
        <v>535</v>
      </c>
      <c r="D33" s="191">
        <f>'ПР 8 ведом'!G348</f>
        <v>172.86960000000002</v>
      </c>
      <c r="E33" s="191">
        <f>'ПР 8 ведом'!H348</f>
        <v>169.38120000000004</v>
      </c>
    </row>
    <row r="34" spans="1:5" x14ac:dyDescent="0.2">
      <c r="A34" s="460"/>
      <c r="B34" s="457"/>
      <c r="C34" s="192" t="s">
        <v>536</v>
      </c>
      <c r="D34" s="191">
        <f>'ПР 8 ведом'!G305</f>
        <v>2045.3680000000002</v>
      </c>
      <c r="E34" s="191">
        <f>'ПР 8 ведом'!H305</f>
        <v>1983.9016000000004</v>
      </c>
    </row>
    <row r="35" spans="1:5" ht="33.75" customHeight="1" x14ac:dyDescent="0.2">
      <c r="A35" s="458">
        <v>4</v>
      </c>
      <c r="B35" s="455" t="s">
        <v>180</v>
      </c>
      <c r="C35" s="193" t="s">
        <v>537</v>
      </c>
      <c r="D35" s="194">
        <f>D36+D37+D38</f>
        <v>28392.417599999997</v>
      </c>
      <c r="E35" s="194">
        <f>E36+E37+E38</f>
        <v>27025.324000000004</v>
      </c>
    </row>
    <row r="36" spans="1:5" x14ac:dyDescent="0.2">
      <c r="A36" s="459"/>
      <c r="B36" s="456"/>
      <c r="C36" s="192" t="s">
        <v>538</v>
      </c>
      <c r="D36" s="195">
        <f>'ПР 8 ведом'!G87</f>
        <v>17532.699999999997</v>
      </c>
      <c r="E36" s="195">
        <f>'ПР 8 ведом'!H87</f>
        <v>17645.500000000004</v>
      </c>
    </row>
    <row r="37" spans="1:5" ht="22.5" x14ac:dyDescent="0.2">
      <c r="A37" s="459"/>
      <c r="B37" s="456"/>
      <c r="C37" s="192" t="s">
        <v>539</v>
      </c>
      <c r="D37" s="195">
        <f>'ПР 8 ведом'!G106</f>
        <v>8238.2000000000007</v>
      </c>
      <c r="E37" s="195">
        <f>'ПР 8 ведом'!H106</f>
        <v>8291.2999999999993</v>
      </c>
    </row>
    <row r="38" spans="1:5" x14ac:dyDescent="0.2">
      <c r="A38" s="460"/>
      <c r="B38" s="457"/>
      <c r="C38" s="192" t="s">
        <v>540</v>
      </c>
      <c r="D38" s="195">
        <f>'ПР 8 ведом'!G142</f>
        <v>2621.5176000000001</v>
      </c>
      <c r="E38" s="195">
        <f>'ПР 8 ведом'!H142</f>
        <v>1088.5240000000001</v>
      </c>
    </row>
    <row r="39" spans="1:5" x14ac:dyDescent="0.2">
      <c r="A39" s="458">
        <v>5</v>
      </c>
      <c r="B39" s="455" t="s">
        <v>541</v>
      </c>
      <c r="C39" s="196" t="s">
        <v>542</v>
      </c>
      <c r="D39" s="190">
        <f>D40+D41</f>
        <v>4129.1963999999998</v>
      </c>
      <c r="E39" s="190">
        <f>E40+E41</f>
        <v>4032.2808000000005</v>
      </c>
    </row>
    <row r="40" spans="1:5" ht="22.5" x14ac:dyDescent="0.2">
      <c r="A40" s="459"/>
      <c r="B40" s="456"/>
      <c r="C40" s="123" t="s">
        <v>543</v>
      </c>
      <c r="D40" s="191">
        <f>'ПР 8 ведом'!G361+'ПР 8 ведом'!G362+'ПР 8 ведом'!G365+'ПР 8 ведом'!G368+'ПР 8 ведом'!G369+'ПР 8 ведом'!G372+'ПР 8 ведом'!G373</f>
        <v>4111.3563999999997</v>
      </c>
      <c r="E40" s="191">
        <f>'ПР 8 ведом'!H361+'ПР 8 ведом'!H362+'ПР 8 ведом'!H365+'ПР 8 ведом'!H368+'ПР 8 ведом'!H369+'ПР 8 ведом'!H372+'ПР 8 ведом'!H373</f>
        <v>4014.8008000000004</v>
      </c>
    </row>
    <row r="41" spans="1:5" x14ac:dyDescent="0.2">
      <c r="A41" s="460"/>
      <c r="B41" s="457"/>
      <c r="C41" s="123" t="s">
        <v>544</v>
      </c>
      <c r="D41" s="191">
        <f>'ПР 8 ведом'!G391</f>
        <v>17.84</v>
      </c>
      <c r="E41" s="191">
        <f>'ПР 8 ведом'!H391</f>
        <v>17.480000000000004</v>
      </c>
    </row>
    <row r="42" spans="1:5" ht="22.5" x14ac:dyDescent="0.2">
      <c r="A42" s="197">
        <v>6</v>
      </c>
      <c r="B42" s="198" t="s">
        <v>545</v>
      </c>
      <c r="C42" s="199" t="s">
        <v>546</v>
      </c>
      <c r="D42" s="195">
        <f>'ПР 8 ведом'!G585</f>
        <v>178.4</v>
      </c>
      <c r="E42" s="195">
        <f>'ПР 8 ведом'!H585</f>
        <v>174.8</v>
      </c>
    </row>
    <row r="43" spans="1:5" ht="22.5" x14ac:dyDescent="0.2">
      <c r="A43" s="197">
        <v>7</v>
      </c>
      <c r="B43" s="198" t="s">
        <v>545</v>
      </c>
      <c r="C43" s="200" t="s">
        <v>547</v>
      </c>
      <c r="D43" s="195">
        <f>'ПР 8 ведом'!G517+'ПР 8 ведом'!G522+'ПР 8 ведом'!G525</f>
        <v>312.2</v>
      </c>
      <c r="E43" s="195">
        <f>'ПР 8 ведом'!H517+'ПР 8 ведом'!H522+'ПР 8 ведом'!H525</f>
        <v>305.90000000000009</v>
      </c>
    </row>
    <row r="44" spans="1:5" ht="22.5" x14ac:dyDescent="0.2">
      <c r="A44" s="197">
        <v>8</v>
      </c>
      <c r="B44" s="198" t="s">
        <v>545</v>
      </c>
      <c r="C44" s="201" t="s">
        <v>548</v>
      </c>
      <c r="D44" s="191">
        <f>'ПР 8 ведом'!G493</f>
        <v>289.2</v>
      </c>
      <c r="E44" s="191">
        <f>'ПР 8 ведом'!H493</f>
        <v>287.39999999999998</v>
      </c>
    </row>
    <row r="45" spans="1:5" ht="24" x14ac:dyDescent="0.2">
      <c r="A45" s="458">
        <v>9</v>
      </c>
      <c r="B45" s="455" t="s">
        <v>545</v>
      </c>
      <c r="C45" s="202" t="s">
        <v>562</v>
      </c>
      <c r="D45" s="191">
        <f>D46+D47</f>
        <v>115.96000000000001</v>
      </c>
      <c r="E45" s="191">
        <f>E46+E47</f>
        <v>113.62</v>
      </c>
    </row>
    <row r="46" spans="1:5" x14ac:dyDescent="0.2">
      <c r="A46" s="459"/>
      <c r="B46" s="456"/>
      <c r="C46" s="209" t="s">
        <v>561</v>
      </c>
      <c r="D46" s="191">
        <f>'ПР 8 ведом'!G499</f>
        <v>89.2</v>
      </c>
      <c r="E46" s="191">
        <f>'ПР 8 ведом'!H499</f>
        <v>87.4</v>
      </c>
    </row>
    <row r="47" spans="1:5" x14ac:dyDescent="0.2">
      <c r="A47" s="460"/>
      <c r="B47" s="457"/>
      <c r="C47" s="202" t="s">
        <v>563</v>
      </c>
      <c r="D47" s="191">
        <f>'ПР 8 ведом'!G503</f>
        <v>26.76</v>
      </c>
      <c r="E47" s="191">
        <f>'ПР 8 ведом'!H503</f>
        <v>26.220000000000002</v>
      </c>
    </row>
    <row r="48" spans="1:5" ht="22.5" x14ac:dyDescent="0.2">
      <c r="A48" s="197">
        <v>10</v>
      </c>
      <c r="B48" s="198" t="s">
        <v>545</v>
      </c>
      <c r="C48" s="123" t="s">
        <v>549</v>
      </c>
      <c r="D48" s="191">
        <f>'ПР 8 ведом'!G530</f>
        <v>54.411999999999999</v>
      </c>
      <c r="E48" s="191">
        <f>'ПР 8 ведом'!H530</f>
        <v>53.314000000000007</v>
      </c>
    </row>
    <row r="49" spans="1:5" ht="22.5" x14ac:dyDescent="0.2">
      <c r="A49" s="197">
        <v>11</v>
      </c>
      <c r="B49" s="198" t="s">
        <v>545</v>
      </c>
      <c r="C49" s="200" t="s">
        <v>550</v>
      </c>
      <c r="D49" s="191">
        <f>'ПР 8 ведом'!G566</f>
        <v>53.52</v>
      </c>
      <c r="E49" s="191">
        <f>'ПР 8 ведом'!H566</f>
        <v>52.440000000000005</v>
      </c>
    </row>
    <row r="50" spans="1:5" ht="22.5" x14ac:dyDescent="0.2">
      <c r="A50" s="197">
        <v>12</v>
      </c>
      <c r="B50" s="198" t="s">
        <v>545</v>
      </c>
      <c r="C50" s="199" t="s">
        <v>551</v>
      </c>
      <c r="D50" s="191">
        <f>'ПР 8 ведом'!G609</f>
        <v>267.60000000000002</v>
      </c>
      <c r="E50" s="191">
        <f>'ПР 8 ведом'!H609</f>
        <v>262.20000000000005</v>
      </c>
    </row>
    <row r="51" spans="1:5" ht="22.5" x14ac:dyDescent="0.2">
      <c r="A51" s="197">
        <v>13</v>
      </c>
      <c r="B51" s="198" t="s">
        <v>545</v>
      </c>
      <c r="C51" s="202" t="s">
        <v>552</v>
      </c>
      <c r="D51" s="191">
        <f>'ПР 8 ведом'!G616</f>
        <v>89.2</v>
      </c>
      <c r="E51" s="191">
        <f>'ПР 8 ведом'!H616</f>
        <v>87.4</v>
      </c>
    </row>
    <row r="52" spans="1:5" ht="22.5" x14ac:dyDescent="0.2">
      <c r="A52" s="197">
        <v>14</v>
      </c>
      <c r="B52" s="198" t="s">
        <v>545</v>
      </c>
      <c r="C52" s="202" t="s">
        <v>553</v>
      </c>
      <c r="D52" s="191">
        <f>'ПР 8 ведом'!G510</f>
        <v>4284</v>
      </c>
      <c r="E52" s="191">
        <f>'ПР 8 ведом'!H510</f>
        <v>4502</v>
      </c>
    </row>
    <row r="53" spans="1:5" ht="24" x14ac:dyDescent="0.2">
      <c r="A53" s="197">
        <v>15</v>
      </c>
      <c r="B53" s="198" t="s">
        <v>545</v>
      </c>
      <c r="C53" s="202" t="s">
        <v>554</v>
      </c>
      <c r="D53" s="191">
        <f>'ПР 8 ведом'!G551+'ПР 8 ведом'!G555+'ПР 8 ведом'!G559</f>
        <v>624.40000000000009</v>
      </c>
      <c r="E53" s="191">
        <f>'ПР 8 ведом'!H551+'ПР 8 ведом'!H555+'ПР 8 ведом'!H559</f>
        <v>611.80000000000007</v>
      </c>
    </row>
    <row r="54" spans="1:5" ht="22.5" x14ac:dyDescent="0.2">
      <c r="A54" s="197">
        <v>16</v>
      </c>
      <c r="B54" s="198" t="s">
        <v>545</v>
      </c>
      <c r="C54" s="199" t="s">
        <v>555</v>
      </c>
      <c r="D54" s="195">
        <f>'ПР 8 ведом'!G544</f>
        <v>378.4</v>
      </c>
      <c r="E54" s="195">
        <f>'ПР 8 ведом'!H544</f>
        <v>374.8</v>
      </c>
    </row>
    <row r="55" spans="1:5" ht="24" x14ac:dyDescent="0.2">
      <c r="A55" s="197">
        <v>17</v>
      </c>
      <c r="B55" s="198" t="s">
        <v>545</v>
      </c>
      <c r="C55" s="199" t="s">
        <v>556</v>
      </c>
      <c r="D55" s="203">
        <f>'ПР 8 ведом'!G450</f>
        <v>35.68</v>
      </c>
      <c r="E55" s="203">
        <f>'ПР 8 ведом'!H450</f>
        <v>34.960000000000008</v>
      </c>
    </row>
    <row r="56" spans="1:5" ht="22.5" x14ac:dyDescent="0.2">
      <c r="A56" s="197">
        <v>18</v>
      </c>
      <c r="B56" s="204" t="s">
        <v>545</v>
      </c>
      <c r="C56" s="205" t="s">
        <v>557</v>
      </c>
      <c r="D56" s="203">
        <f>'ПР 8 ведом'!G602</f>
        <v>892</v>
      </c>
      <c r="E56" s="203">
        <f>'ПР 8 ведом'!H602</f>
        <v>874.00000000000011</v>
      </c>
    </row>
    <row r="57" spans="1:5" ht="22.5" customHeight="1" x14ac:dyDescent="0.2">
      <c r="A57" s="197">
        <v>19</v>
      </c>
      <c r="B57" s="198" t="s">
        <v>545</v>
      </c>
      <c r="C57" s="206" t="s">
        <v>558</v>
      </c>
      <c r="D57" s="203">
        <f>'ПР 8 ведом'!G535+'ПР 8 ведом'!G539</f>
        <v>44.6</v>
      </c>
      <c r="E57" s="203">
        <f>'ПР 8 ведом'!H535+'ПР 8 ведом'!H539</f>
        <v>43.7</v>
      </c>
    </row>
    <row r="61" spans="1:5" x14ac:dyDescent="0.2">
      <c r="C61" s="208"/>
    </row>
  </sheetData>
  <mergeCells count="31">
    <mergeCell ref="E14:E15"/>
    <mergeCell ref="A35:A38"/>
    <mergeCell ref="B35:B38"/>
    <mergeCell ref="A39:A41"/>
    <mergeCell ref="B39:B41"/>
    <mergeCell ref="A16:C16"/>
    <mergeCell ref="A45:A47"/>
    <mergeCell ref="B45:B47"/>
    <mergeCell ref="A17:A23"/>
    <mergeCell ref="B17:B23"/>
    <mergeCell ref="A24:A29"/>
    <mergeCell ref="B24:B29"/>
    <mergeCell ref="A30:A34"/>
    <mergeCell ref="B30:B34"/>
    <mergeCell ref="C13:D13"/>
    <mergeCell ref="A14:A15"/>
    <mergeCell ref="B14:B15"/>
    <mergeCell ref="C14:C15"/>
    <mergeCell ref="D14:D15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7" right="0.7" top="0.75" bottom="0.75" header="0.3" footer="0.3"/>
  <pageSetup paperSize="9" scale="74" orientation="portrait" verticalDpi="0" r:id="rId1"/>
  <colBreaks count="1" manualBreakCount="1">
    <brk id="2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5"/>
  <sheetViews>
    <sheetView view="pageBreakPreview" zoomScale="60" zoomScaleNormal="100" workbookViewId="0">
      <selection activeCell="D14" sqref="D14:E19"/>
    </sheetView>
  </sheetViews>
  <sheetFormatPr defaultRowHeight="12.75" x14ac:dyDescent="0.2"/>
  <cols>
    <col min="1" max="1" width="5.140625" style="238" customWidth="1"/>
    <col min="2" max="2" width="26.5703125" style="238" customWidth="1"/>
    <col min="3" max="3" width="7.5703125" style="238" customWidth="1"/>
    <col min="4" max="4" width="14.140625" style="238" customWidth="1"/>
    <col min="5" max="5" width="14.42578125" style="238" bestFit="1" customWidth="1"/>
    <col min="6" max="256" width="9.140625" style="238"/>
    <col min="257" max="257" width="5.140625" style="238" customWidth="1"/>
    <col min="258" max="258" width="26.5703125" style="238" customWidth="1"/>
    <col min="259" max="259" width="7.5703125" style="238" customWidth="1"/>
    <col min="260" max="260" width="14.140625" style="238" customWidth="1"/>
    <col min="261" max="261" width="14.42578125" style="238" bestFit="1" customWidth="1"/>
    <col min="262" max="512" width="9.140625" style="238"/>
    <col min="513" max="513" width="5.140625" style="238" customWidth="1"/>
    <col min="514" max="514" width="26.5703125" style="238" customWidth="1"/>
    <col min="515" max="515" width="7.5703125" style="238" customWidth="1"/>
    <col min="516" max="516" width="14.140625" style="238" customWidth="1"/>
    <col min="517" max="517" width="14.42578125" style="238" bestFit="1" customWidth="1"/>
    <col min="518" max="768" width="9.140625" style="238"/>
    <col min="769" max="769" width="5.140625" style="238" customWidth="1"/>
    <col min="770" max="770" width="26.5703125" style="238" customWidth="1"/>
    <col min="771" max="771" width="7.5703125" style="238" customWidth="1"/>
    <col min="772" max="772" width="14.140625" style="238" customWidth="1"/>
    <col min="773" max="773" width="14.42578125" style="238" bestFit="1" customWidth="1"/>
    <col min="774" max="1024" width="9.140625" style="238"/>
    <col min="1025" max="1025" width="5.140625" style="238" customWidth="1"/>
    <col min="1026" max="1026" width="26.5703125" style="238" customWidth="1"/>
    <col min="1027" max="1027" width="7.5703125" style="238" customWidth="1"/>
    <col min="1028" max="1028" width="14.140625" style="238" customWidth="1"/>
    <col min="1029" max="1029" width="14.42578125" style="238" bestFit="1" customWidth="1"/>
    <col min="1030" max="1280" width="9.140625" style="238"/>
    <col min="1281" max="1281" width="5.140625" style="238" customWidth="1"/>
    <col min="1282" max="1282" width="26.5703125" style="238" customWidth="1"/>
    <col min="1283" max="1283" width="7.5703125" style="238" customWidth="1"/>
    <col min="1284" max="1284" width="14.140625" style="238" customWidth="1"/>
    <col min="1285" max="1285" width="14.42578125" style="238" bestFit="1" customWidth="1"/>
    <col min="1286" max="1536" width="9.140625" style="238"/>
    <col min="1537" max="1537" width="5.140625" style="238" customWidth="1"/>
    <col min="1538" max="1538" width="26.5703125" style="238" customWidth="1"/>
    <col min="1539" max="1539" width="7.5703125" style="238" customWidth="1"/>
    <col min="1540" max="1540" width="14.140625" style="238" customWidth="1"/>
    <col min="1541" max="1541" width="14.42578125" style="238" bestFit="1" customWidth="1"/>
    <col min="1542" max="1792" width="9.140625" style="238"/>
    <col min="1793" max="1793" width="5.140625" style="238" customWidth="1"/>
    <col min="1794" max="1794" width="26.5703125" style="238" customWidth="1"/>
    <col min="1795" max="1795" width="7.5703125" style="238" customWidth="1"/>
    <col min="1796" max="1796" width="14.140625" style="238" customWidth="1"/>
    <col min="1797" max="1797" width="14.42578125" style="238" bestFit="1" customWidth="1"/>
    <col min="1798" max="2048" width="9.140625" style="238"/>
    <col min="2049" max="2049" width="5.140625" style="238" customWidth="1"/>
    <col min="2050" max="2050" width="26.5703125" style="238" customWidth="1"/>
    <col min="2051" max="2051" width="7.5703125" style="238" customWidth="1"/>
    <col min="2052" max="2052" width="14.140625" style="238" customWidth="1"/>
    <col min="2053" max="2053" width="14.42578125" style="238" bestFit="1" customWidth="1"/>
    <col min="2054" max="2304" width="9.140625" style="238"/>
    <col min="2305" max="2305" width="5.140625" style="238" customWidth="1"/>
    <col min="2306" max="2306" width="26.5703125" style="238" customWidth="1"/>
    <col min="2307" max="2307" width="7.5703125" style="238" customWidth="1"/>
    <col min="2308" max="2308" width="14.140625" style="238" customWidth="1"/>
    <col min="2309" max="2309" width="14.42578125" style="238" bestFit="1" customWidth="1"/>
    <col min="2310" max="2560" width="9.140625" style="238"/>
    <col min="2561" max="2561" width="5.140625" style="238" customWidth="1"/>
    <col min="2562" max="2562" width="26.5703125" style="238" customWidth="1"/>
    <col min="2563" max="2563" width="7.5703125" style="238" customWidth="1"/>
    <col min="2564" max="2564" width="14.140625" style="238" customWidth="1"/>
    <col min="2565" max="2565" width="14.42578125" style="238" bestFit="1" customWidth="1"/>
    <col min="2566" max="2816" width="9.140625" style="238"/>
    <col min="2817" max="2817" width="5.140625" style="238" customWidth="1"/>
    <col min="2818" max="2818" width="26.5703125" style="238" customWidth="1"/>
    <col min="2819" max="2819" width="7.5703125" style="238" customWidth="1"/>
    <col min="2820" max="2820" width="14.140625" style="238" customWidth="1"/>
    <col min="2821" max="2821" width="14.42578125" style="238" bestFit="1" customWidth="1"/>
    <col min="2822" max="3072" width="9.140625" style="238"/>
    <col min="3073" max="3073" width="5.140625" style="238" customWidth="1"/>
    <col min="3074" max="3074" width="26.5703125" style="238" customWidth="1"/>
    <col min="3075" max="3075" width="7.5703125" style="238" customWidth="1"/>
    <col min="3076" max="3076" width="14.140625" style="238" customWidth="1"/>
    <col min="3077" max="3077" width="14.42578125" style="238" bestFit="1" customWidth="1"/>
    <col min="3078" max="3328" width="9.140625" style="238"/>
    <col min="3329" max="3329" width="5.140625" style="238" customWidth="1"/>
    <col min="3330" max="3330" width="26.5703125" style="238" customWidth="1"/>
    <col min="3331" max="3331" width="7.5703125" style="238" customWidth="1"/>
    <col min="3332" max="3332" width="14.140625" style="238" customWidth="1"/>
    <col min="3333" max="3333" width="14.42578125" style="238" bestFit="1" customWidth="1"/>
    <col min="3334" max="3584" width="9.140625" style="238"/>
    <col min="3585" max="3585" width="5.140625" style="238" customWidth="1"/>
    <col min="3586" max="3586" width="26.5703125" style="238" customWidth="1"/>
    <col min="3587" max="3587" width="7.5703125" style="238" customWidth="1"/>
    <col min="3588" max="3588" width="14.140625" style="238" customWidth="1"/>
    <col min="3589" max="3589" width="14.42578125" style="238" bestFit="1" customWidth="1"/>
    <col min="3590" max="3840" width="9.140625" style="238"/>
    <col min="3841" max="3841" width="5.140625" style="238" customWidth="1"/>
    <col min="3842" max="3842" width="26.5703125" style="238" customWidth="1"/>
    <col min="3843" max="3843" width="7.5703125" style="238" customWidth="1"/>
    <col min="3844" max="3844" width="14.140625" style="238" customWidth="1"/>
    <col min="3845" max="3845" width="14.42578125" style="238" bestFit="1" customWidth="1"/>
    <col min="3846" max="4096" width="9.140625" style="238"/>
    <col min="4097" max="4097" width="5.140625" style="238" customWidth="1"/>
    <col min="4098" max="4098" width="26.5703125" style="238" customWidth="1"/>
    <col min="4099" max="4099" width="7.5703125" style="238" customWidth="1"/>
    <col min="4100" max="4100" width="14.140625" style="238" customWidth="1"/>
    <col min="4101" max="4101" width="14.42578125" style="238" bestFit="1" customWidth="1"/>
    <col min="4102" max="4352" width="9.140625" style="238"/>
    <col min="4353" max="4353" width="5.140625" style="238" customWidth="1"/>
    <col min="4354" max="4354" width="26.5703125" style="238" customWidth="1"/>
    <col min="4355" max="4355" width="7.5703125" style="238" customWidth="1"/>
    <col min="4356" max="4356" width="14.140625" style="238" customWidth="1"/>
    <col min="4357" max="4357" width="14.42578125" style="238" bestFit="1" customWidth="1"/>
    <col min="4358" max="4608" width="9.140625" style="238"/>
    <col min="4609" max="4609" width="5.140625" style="238" customWidth="1"/>
    <col min="4610" max="4610" width="26.5703125" style="238" customWidth="1"/>
    <col min="4611" max="4611" width="7.5703125" style="238" customWidth="1"/>
    <col min="4612" max="4612" width="14.140625" style="238" customWidth="1"/>
    <col min="4613" max="4613" width="14.42578125" style="238" bestFit="1" customWidth="1"/>
    <col min="4614" max="4864" width="9.140625" style="238"/>
    <col min="4865" max="4865" width="5.140625" style="238" customWidth="1"/>
    <col min="4866" max="4866" width="26.5703125" style="238" customWidth="1"/>
    <col min="4867" max="4867" width="7.5703125" style="238" customWidth="1"/>
    <col min="4868" max="4868" width="14.140625" style="238" customWidth="1"/>
    <col min="4869" max="4869" width="14.42578125" style="238" bestFit="1" customWidth="1"/>
    <col min="4870" max="5120" width="9.140625" style="238"/>
    <col min="5121" max="5121" width="5.140625" style="238" customWidth="1"/>
    <col min="5122" max="5122" width="26.5703125" style="238" customWidth="1"/>
    <col min="5123" max="5123" width="7.5703125" style="238" customWidth="1"/>
    <col min="5124" max="5124" width="14.140625" style="238" customWidth="1"/>
    <col min="5125" max="5125" width="14.42578125" style="238" bestFit="1" customWidth="1"/>
    <col min="5126" max="5376" width="9.140625" style="238"/>
    <col min="5377" max="5377" width="5.140625" style="238" customWidth="1"/>
    <col min="5378" max="5378" width="26.5703125" style="238" customWidth="1"/>
    <col min="5379" max="5379" width="7.5703125" style="238" customWidth="1"/>
    <col min="5380" max="5380" width="14.140625" style="238" customWidth="1"/>
    <col min="5381" max="5381" width="14.42578125" style="238" bestFit="1" customWidth="1"/>
    <col min="5382" max="5632" width="9.140625" style="238"/>
    <col min="5633" max="5633" width="5.140625" style="238" customWidth="1"/>
    <col min="5634" max="5634" width="26.5703125" style="238" customWidth="1"/>
    <col min="5635" max="5635" width="7.5703125" style="238" customWidth="1"/>
    <col min="5636" max="5636" width="14.140625" style="238" customWidth="1"/>
    <col min="5637" max="5637" width="14.42578125" style="238" bestFit="1" customWidth="1"/>
    <col min="5638" max="5888" width="9.140625" style="238"/>
    <col min="5889" max="5889" width="5.140625" style="238" customWidth="1"/>
    <col min="5890" max="5890" width="26.5703125" style="238" customWidth="1"/>
    <col min="5891" max="5891" width="7.5703125" style="238" customWidth="1"/>
    <col min="5892" max="5892" width="14.140625" style="238" customWidth="1"/>
    <col min="5893" max="5893" width="14.42578125" style="238" bestFit="1" customWidth="1"/>
    <col min="5894" max="6144" width="9.140625" style="238"/>
    <col min="6145" max="6145" width="5.140625" style="238" customWidth="1"/>
    <col min="6146" max="6146" width="26.5703125" style="238" customWidth="1"/>
    <col min="6147" max="6147" width="7.5703125" style="238" customWidth="1"/>
    <col min="6148" max="6148" width="14.140625" style="238" customWidth="1"/>
    <col min="6149" max="6149" width="14.42578125" style="238" bestFit="1" customWidth="1"/>
    <col min="6150" max="6400" width="9.140625" style="238"/>
    <col min="6401" max="6401" width="5.140625" style="238" customWidth="1"/>
    <col min="6402" max="6402" width="26.5703125" style="238" customWidth="1"/>
    <col min="6403" max="6403" width="7.5703125" style="238" customWidth="1"/>
    <col min="6404" max="6404" width="14.140625" style="238" customWidth="1"/>
    <col min="6405" max="6405" width="14.42578125" style="238" bestFit="1" customWidth="1"/>
    <col min="6406" max="6656" width="9.140625" style="238"/>
    <col min="6657" max="6657" width="5.140625" style="238" customWidth="1"/>
    <col min="6658" max="6658" width="26.5703125" style="238" customWidth="1"/>
    <col min="6659" max="6659" width="7.5703125" style="238" customWidth="1"/>
    <col min="6660" max="6660" width="14.140625" style="238" customWidth="1"/>
    <col min="6661" max="6661" width="14.42578125" style="238" bestFit="1" customWidth="1"/>
    <col min="6662" max="6912" width="9.140625" style="238"/>
    <col min="6913" max="6913" width="5.140625" style="238" customWidth="1"/>
    <col min="6914" max="6914" width="26.5703125" style="238" customWidth="1"/>
    <col min="6915" max="6915" width="7.5703125" style="238" customWidth="1"/>
    <col min="6916" max="6916" width="14.140625" style="238" customWidth="1"/>
    <col min="6917" max="6917" width="14.42578125" style="238" bestFit="1" customWidth="1"/>
    <col min="6918" max="7168" width="9.140625" style="238"/>
    <col min="7169" max="7169" width="5.140625" style="238" customWidth="1"/>
    <col min="7170" max="7170" width="26.5703125" style="238" customWidth="1"/>
    <col min="7171" max="7171" width="7.5703125" style="238" customWidth="1"/>
    <col min="7172" max="7172" width="14.140625" style="238" customWidth="1"/>
    <col min="7173" max="7173" width="14.42578125" style="238" bestFit="1" customWidth="1"/>
    <col min="7174" max="7424" width="9.140625" style="238"/>
    <col min="7425" max="7425" width="5.140625" style="238" customWidth="1"/>
    <col min="7426" max="7426" width="26.5703125" style="238" customWidth="1"/>
    <col min="7427" max="7427" width="7.5703125" style="238" customWidth="1"/>
    <col min="7428" max="7428" width="14.140625" style="238" customWidth="1"/>
    <col min="7429" max="7429" width="14.42578125" style="238" bestFit="1" customWidth="1"/>
    <col min="7430" max="7680" width="9.140625" style="238"/>
    <col min="7681" max="7681" width="5.140625" style="238" customWidth="1"/>
    <col min="7682" max="7682" width="26.5703125" style="238" customWidth="1"/>
    <col min="7683" max="7683" width="7.5703125" style="238" customWidth="1"/>
    <col min="7684" max="7684" width="14.140625" style="238" customWidth="1"/>
    <col min="7685" max="7685" width="14.42578125" style="238" bestFit="1" customWidth="1"/>
    <col min="7686" max="7936" width="9.140625" style="238"/>
    <col min="7937" max="7937" width="5.140625" style="238" customWidth="1"/>
    <col min="7938" max="7938" width="26.5703125" style="238" customWidth="1"/>
    <col min="7939" max="7939" width="7.5703125" style="238" customWidth="1"/>
    <col min="7940" max="7940" width="14.140625" style="238" customWidth="1"/>
    <col min="7941" max="7941" width="14.42578125" style="238" bestFit="1" customWidth="1"/>
    <col min="7942" max="8192" width="9.140625" style="238"/>
    <col min="8193" max="8193" width="5.140625" style="238" customWidth="1"/>
    <col min="8194" max="8194" width="26.5703125" style="238" customWidth="1"/>
    <col min="8195" max="8195" width="7.5703125" style="238" customWidth="1"/>
    <col min="8196" max="8196" width="14.140625" style="238" customWidth="1"/>
    <col min="8197" max="8197" width="14.42578125" style="238" bestFit="1" customWidth="1"/>
    <col min="8198" max="8448" width="9.140625" style="238"/>
    <col min="8449" max="8449" width="5.140625" style="238" customWidth="1"/>
    <col min="8450" max="8450" width="26.5703125" style="238" customWidth="1"/>
    <col min="8451" max="8451" width="7.5703125" style="238" customWidth="1"/>
    <col min="8452" max="8452" width="14.140625" style="238" customWidth="1"/>
    <col min="8453" max="8453" width="14.42578125" style="238" bestFit="1" customWidth="1"/>
    <col min="8454" max="8704" width="9.140625" style="238"/>
    <col min="8705" max="8705" width="5.140625" style="238" customWidth="1"/>
    <col min="8706" max="8706" width="26.5703125" style="238" customWidth="1"/>
    <col min="8707" max="8707" width="7.5703125" style="238" customWidth="1"/>
    <col min="8708" max="8708" width="14.140625" style="238" customWidth="1"/>
    <col min="8709" max="8709" width="14.42578125" style="238" bestFit="1" customWidth="1"/>
    <col min="8710" max="8960" width="9.140625" style="238"/>
    <col min="8961" max="8961" width="5.140625" style="238" customWidth="1"/>
    <col min="8962" max="8962" width="26.5703125" style="238" customWidth="1"/>
    <col min="8963" max="8963" width="7.5703125" style="238" customWidth="1"/>
    <col min="8964" max="8964" width="14.140625" style="238" customWidth="1"/>
    <col min="8965" max="8965" width="14.42578125" style="238" bestFit="1" customWidth="1"/>
    <col min="8966" max="9216" width="9.140625" style="238"/>
    <col min="9217" max="9217" width="5.140625" style="238" customWidth="1"/>
    <col min="9218" max="9218" width="26.5703125" style="238" customWidth="1"/>
    <col min="9219" max="9219" width="7.5703125" style="238" customWidth="1"/>
    <col min="9220" max="9220" width="14.140625" style="238" customWidth="1"/>
    <col min="9221" max="9221" width="14.42578125" style="238" bestFit="1" customWidth="1"/>
    <col min="9222" max="9472" width="9.140625" style="238"/>
    <col min="9473" max="9473" width="5.140625" style="238" customWidth="1"/>
    <col min="9474" max="9474" width="26.5703125" style="238" customWidth="1"/>
    <col min="9475" max="9475" width="7.5703125" style="238" customWidth="1"/>
    <col min="9476" max="9476" width="14.140625" style="238" customWidth="1"/>
    <col min="9477" max="9477" width="14.42578125" style="238" bestFit="1" customWidth="1"/>
    <col min="9478" max="9728" width="9.140625" style="238"/>
    <col min="9729" max="9729" width="5.140625" style="238" customWidth="1"/>
    <col min="9730" max="9730" width="26.5703125" style="238" customWidth="1"/>
    <col min="9731" max="9731" width="7.5703125" style="238" customWidth="1"/>
    <col min="9732" max="9732" width="14.140625" style="238" customWidth="1"/>
    <col min="9733" max="9733" width="14.42578125" style="238" bestFit="1" customWidth="1"/>
    <col min="9734" max="9984" width="9.140625" style="238"/>
    <col min="9985" max="9985" width="5.140625" style="238" customWidth="1"/>
    <col min="9986" max="9986" width="26.5703125" style="238" customWidth="1"/>
    <col min="9987" max="9987" width="7.5703125" style="238" customWidth="1"/>
    <col min="9988" max="9988" width="14.140625" style="238" customWidth="1"/>
    <col min="9989" max="9989" width="14.42578125" style="238" bestFit="1" customWidth="1"/>
    <col min="9990" max="10240" width="9.140625" style="238"/>
    <col min="10241" max="10241" width="5.140625" style="238" customWidth="1"/>
    <col min="10242" max="10242" width="26.5703125" style="238" customWidth="1"/>
    <col min="10243" max="10243" width="7.5703125" style="238" customWidth="1"/>
    <col min="10244" max="10244" width="14.140625" style="238" customWidth="1"/>
    <col min="10245" max="10245" width="14.42578125" style="238" bestFit="1" customWidth="1"/>
    <col min="10246" max="10496" width="9.140625" style="238"/>
    <col min="10497" max="10497" width="5.140625" style="238" customWidth="1"/>
    <col min="10498" max="10498" width="26.5703125" style="238" customWidth="1"/>
    <col min="10499" max="10499" width="7.5703125" style="238" customWidth="1"/>
    <col min="10500" max="10500" width="14.140625" style="238" customWidth="1"/>
    <col min="10501" max="10501" width="14.42578125" style="238" bestFit="1" customWidth="1"/>
    <col min="10502" max="10752" width="9.140625" style="238"/>
    <col min="10753" max="10753" width="5.140625" style="238" customWidth="1"/>
    <col min="10754" max="10754" width="26.5703125" style="238" customWidth="1"/>
    <col min="10755" max="10755" width="7.5703125" style="238" customWidth="1"/>
    <col min="10756" max="10756" width="14.140625" style="238" customWidth="1"/>
    <col min="10757" max="10757" width="14.42578125" style="238" bestFit="1" customWidth="1"/>
    <col min="10758" max="11008" width="9.140625" style="238"/>
    <col min="11009" max="11009" width="5.140625" style="238" customWidth="1"/>
    <col min="11010" max="11010" width="26.5703125" style="238" customWidth="1"/>
    <col min="11011" max="11011" width="7.5703125" style="238" customWidth="1"/>
    <col min="11012" max="11012" width="14.140625" style="238" customWidth="1"/>
    <col min="11013" max="11013" width="14.42578125" style="238" bestFit="1" customWidth="1"/>
    <col min="11014" max="11264" width="9.140625" style="238"/>
    <col min="11265" max="11265" width="5.140625" style="238" customWidth="1"/>
    <col min="11266" max="11266" width="26.5703125" style="238" customWidth="1"/>
    <col min="11267" max="11267" width="7.5703125" style="238" customWidth="1"/>
    <col min="11268" max="11268" width="14.140625" style="238" customWidth="1"/>
    <col min="11269" max="11269" width="14.42578125" style="238" bestFit="1" customWidth="1"/>
    <col min="11270" max="11520" width="9.140625" style="238"/>
    <col min="11521" max="11521" width="5.140625" style="238" customWidth="1"/>
    <col min="11522" max="11522" width="26.5703125" style="238" customWidth="1"/>
    <col min="11523" max="11523" width="7.5703125" style="238" customWidth="1"/>
    <col min="11524" max="11524" width="14.140625" style="238" customWidth="1"/>
    <col min="11525" max="11525" width="14.42578125" style="238" bestFit="1" customWidth="1"/>
    <col min="11526" max="11776" width="9.140625" style="238"/>
    <col min="11777" max="11777" width="5.140625" style="238" customWidth="1"/>
    <col min="11778" max="11778" width="26.5703125" style="238" customWidth="1"/>
    <col min="11779" max="11779" width="7.5703125" style="238" customWidth="1"/>
    <col min="11780" max="11780" width="14.140625" style="238" customWidth="1"/>
    <col min="11781" max="11781" width="14.42578125" style="238" bestFit="1" customWidth="1"/>
    <col min="11782" max="12032" width="9.140625" style="238"/>
    <col min="12033" max="12033" width="5.140625" style="238" customWidth="1"/>
    <col min="12034" max="12034" width="26.5703125" style="238" customWidth="1"/>
    <col min="12035" max="12035" width="7.5703125" style="238" customWidth="1"/>
    <col min="12036" max="12036" width="14.140625" style="238" customWidth="1"/>
    <col min="12037" max="12037" width="14.42578125" style="238" bestFit="1" customWidth="1"/>
    <col min="12038" max="12288" width="9.140625" style="238"/>
    <col min="12289" max="12289" width="5.140625" style="238" customWidth="1"/>
    <col min="12290" max="12290" width="26.5703125" style="238" customWidth="1"/>
    <col min="12291" max="12291" width="7.5703125" style="238" customWidth="1"/>
    <col min="12292" max="12292" width="14.140625" style="238" customWidth="1"/>
    <col min="12293" max="12293" width="14.42578125" style="238" bestFit="1" customWidth="1"/>
    <col min="12294" max="12544" width="9.140625" style="238"/>
    <col min="12545" max="12545" width="5.140625" style="238" customWidth="1"/>
    <col min="12546" max="12546" width="26.5703125" style="238" customWidth="1"/>
    <col min="12547" max="12547" width="7.5703125" style="238" customWidth="1"/>
    <col min="12548" max="12548" width="14.140625" style="238" customWidth="1"/>
    <col min="12549" max="12549" width="14.42578125" style="238" bestFit="1" customWidth="1"/>
    <col min="12550" max="12800" width="9.140625" style="238"/>
    <col min="12801" max="12801" width="5.140625" style="238" customWidth="1"/>
    <col min="12802" max="12802" width="26.5703125" style="238" customWidth="1"/>
    <col min="12803" max="12803" width="7.5703125" style="238" customWidth="1"/>
    <col min="12804" max="12804" width="14.140625" style="238" customWidth="1"/>
    <col min="12805" max="12805" width="14.42578125" style="238" bestFit="1" customWidth="1"/>
    <col min="12806" max="13056" width="9.140625" style="238"/>
    <col min="13057" max="13057" width="5.140625" style="238" customWidth="1"/>
    <col min="13058" max="13058" width="26.5703125" style="238" customWidth="1"/>
    <col min="13059" max="13059" width="7.5703125" style="238" customWidth="1"/>
    <col min="13060" max="13060" width="14.140625" style="238" customWidth="1"/>
    <col min="13061" max="13061" width="14.42578125" style="238" bestFit="1" customWidth="1"/>
    <col min="13062" max="13312" width="9.140625" style="238"/>
    <col min="13313" max="13313" width="5.140625" style="238" customWidth="1"/>
    <col min="13314" max="13314" width="26.5703125" style="238" customWidth="1"/>
    <col min="13315" max="13315" width="7.5703125" style="238" customWidth="1"/>
    <col min="13316" max="13316" width="14.140625" style="238" customWidth="1"/>
    <col min="13317" max="13317" width="14.42578125" style="238" bestFit="1" customWidth="1"/>
    <col min="13318" max="13568" width="9.140625" style="238"/>
    <col min="13569" max="13569" width="5.140625" style="238" customWidth="1"/>
    <col min="13570" max="13570" width="26.5703125" style="238" customWidth="1"/>
    <col min="13571" max="13571" width="7.5703125" style="238" customWidth="1"/>
    <col min="13572" max="13572" width="14.140625" style="238" customWidth="1"/>
    <col min="13573" max="13573" width="14.42578125" style="238" bestFit="1" customWidth="1"/>
    <col min="13574" max="13824" width="9.140625" style="238"/>
    <col min="13825" max="13825" width="5.140625" style="238" customWidth="1"/>
    <col min="13826" max="13826" width="26.5703125" style="238" customWidth="1"/>
    <col min="13827" max="13827" width="7.5703125" style="238" customWidth="1"/>
    <col min="13828" max="13828" width="14.140625" style="238" customWidth="1"/>
    <col min="13829" max="13829" width="14.42578125" style="238" bestFit="1" customWidth="1"/>
    <col min="13830" max="14080" width="9.140625" style="238"/>
    <col min="14081" max="14081" width="5.140625" style="238" customWidth="1"/>
    <col min="14082" max="14082" width="26.5703125" style="238" customWidth="1"/>
    <col min="14083" max="14083" width="7.5703125" style="238" customWidth="1"/>
    <col min="14084" max="14084" width="14.140625" style="238" customWidth="1"/>
    <col min="14085" max="14085" width="14.42578125" style="238" bestFit="1" customWidth="1"/>
    <col min="14086" max="14336" width="9.140625" style="238"/>
    <col min="14337" max="14337" width="5.140625" style="238" customWidth="1"/>
    <col min="14338" max="14338" width="26.5703125" style="238" customWidth="1"/>
    <col min="14339" max="14339" width="7.5703125" style="238" customWidth="1"/>
    <col min="14340" max="14340" width="14.140625" style="238" customWidth="1"/>
    <col min="14341" max="14341" width="14.42578125" style="238" bestFit="1" customWidth="1"/>
    <col min="14342" max="14592" width="9.140625" style="238"/>
    <col min="14593" max="14593" width="5.140625" style="238" customWidth="1"/>
    <col min="14594" max="14594" width="26.5703125" style="238" customWidth="1"/>
    <col min="14595" max="14595" width="7.5703125" style="238" customWidth="1"/>
    <col min="14596" max="14596" width="14.140625" style="238" customWidth="1"/>
    <col min="14597" max="14597" width="14.42578125" style="238" bestFit="1" customWidth="1"/>
    <col min="14598" max="14848" width="9.140625" style="238"/>
    <col min="14849" max="14849" width="5.140625" style="238" customWidth="1"/>
    <col min="14850" max="14850" width="26.5703125" style="238" customWidth="1"/>
    <col min="14851" max="14851" width="7.5703125" style="238" customWidth="1"/>
    <col min="14852" max="14852" width="14.140625" style="238" customWidth="1"/>
    <col min="14853" max="14853" width="14.42578125" style="238" bestFit="1" customWidth="1"/>
    <col min="14854" max="15104" width="9.140625" style="238"/>
    <col min="15105" max="15105" width="5.140625" style="238" customWidth="1"/>
    <col min="15106" max="15106" width="26.5703125" style="238" customWidth="1"/>
    <col min="15107" max="15107" width="7.5703125" style="238" customWidth="1"/>
    <col min="15108" max="15108" width="14.140625" style="238" customWidth="1"/>
    <col min="15109" max="15109" width="14.42578125" style="238" bestFit="1" customWidth="1"/>
    <col min="15110" max="15360" width="9.140625" style="238"/>
    <col min="15361" max="15361" width="5.140625" style="238" customWidth="1"/>
    <col min="15362" max="15362" width="26.5703125" style="238" customWidth="1"/>
    <col min="15363" max="15363" width="7.5703125" style="238" customWidth="1"/>
    <col min="15364" max="15364" width="14.140625" style="238" customWidth="1"/>
    <col min="15365" max="15365" width="14.42578125" style="238" bestFit="1" customWidth="1"/>
    <col min="15366" max="15616" width="9.140625" style="238"/>
    <col min="15617" max="15617" width="5.140625" style="238" customWidth="1"/>
    <col min="15618" max="15618" width="26.5703125" style="238" customWidth="1"/>
    <col min="15619" max="15619" width="7.5703125" style="238" customWidth="1"/>
    <col min="15620" max="15620" width="14.140625" style="238" customWidth="1"/>
    <col min="15621" max="15621" width="14.42578125" style="238" bestFit="1" customWidth="1"/>
    <col min="15622" max="15872" width="9.140625" style="238"/>
    <col min="15873" max="15873" width="5.140625" style="238" customWidth="1"/>
    <col min="15874" max="15874" width="26.5703125" style="238" customWidth="1"/>
    <col min="15875" max="15875" width="7.5703125" style="238" customWidth="1"/>
    <col min="15876" max="15876" width="14.140625" style="238" customWidth="1"/>
    <col min="15877" max="15877" width="14.42578125" style="238" bestFit="1" customWidth="1"/>
    <col min="15878" max="16128" width="9.140625" style="238"/>
    <col min="16129" max="16129" width="5.140625" style="238" customWidth="1"/>
    <col min="16130" max="16130" width="26.5703125" style="238" customWidth="1"/>
    <col min="16131" max="16131" width="7.5703125" style="238" customWidth="1"/>
    <col min="16132" max="16132" width="14.140625" style="238" customWidth="1"/>
    <col min="16133" max="16133" width="14.42578125" style="238" bestFit="1" customWidth="1"/>
    <col min="16134" max="16384" width="9.140625" style="238"/>
  </cols>
  <sheetData>
    <row r="1" spans="1:6" x14ac:dyDescent="0.2">
      <c r="B1" s="484" t="s">
        <v>630</v>
      </c>
      <c r="C1" s="484"/>
      <c r="D1" s="484"/>
      <c r="E1" s="484"/>
    </row>
    <row r="2" spans="1:6" x14ac:dyDescent="0.2">
      <c r="B2" s="436" t="s">
        <v>575</v>
      </c>
      <c r="C2" s="436"/>
      <c r="D2" s="436"/>
      <c r="E2" s="436"/>
    </row>
    <row r="3" spans="1:6" x14ac:dyDescent="0.2">
      <c r="B3" s="436" t="s">
        <v>576</v>
      </c>
      <c r="C3" s="436"/>
      <c r="D3" s="436"/>
      <c r="E3" s="436"/>
    </row>
    <row r="4" spans="1:6" x14ac:dyDescent="0.2">
      <c r="B4" s="436" t="s">
        <v>577</v>
      </c>
      <c r="C4" s="436"/>
      <c r="D4" s="436"/>
      <c r="E4" s="436"/>
    </row>
    <row r="5" spans="1:6" x14ac:dyDescent="0.2">
      <c r="B5" s="436" t="s">
        <v>596</v>
      </c>
      <c r="C5" s="436"/>
      <c r="D5" s="436"/>
      <c r="E5" s="436"/>
    </row>
    <row r="6" spans="1:6" ht="12.75" customHeight="1" x14ac:dyDescent="0.2">
      <c r="B6" s="436" t="s">
        <v>578</v>
      </c>
      <c r="C6" s="436"/>
      <c r="D6" s="436"/>
      <c r="E6" s="436"/>
      <c r="F6" s="246"/>
    </row>
    <row r="7" spans="1:6" ht="12.75" customHeight="1" x14ac:dyDescent="0.2">
      <c r="B7" s="477" t="s">
        <v>577</v>
      </c>
      <c r="C7" s="477"/>
      <c r="D7" s="477"/>
      <c r="E7" s="477"/>
      <c r="F7" s="246"/>
    </row>
    <row r="8" spans="1:6" ht="12.75" customHeight="1" x14ac:dyDescent="0.2">
      <c r="A8" s="436" t="s">
        <v>592</v>
      </c>
      <c r="B8" s="436"/>
      <c r="C8" s="436"/>
      <c r="D8" s="436"/>
      <c r="E8" s="436"/>
    </row>
    <row r="9" spans="1:6" x14ac:dyDescent="0.2">
      <c r="C9" s="239"/>
    </row>
    <row r="10" spans="1:6" x14ac:dyDescent="0.2">
      <c r="A10" s="478" t="s">
        <v>601</v>
      </c>
      <c r="B10" s="478"/>
      <c r="C10" s="478"/>
      <c r="D10" s="478"/>
      <c r="E10" s="478"/>
    </row>
    <row r="11" spans="1:6" s="259" customFormat="1" ht="37.5" customHeight="1" x14ac:dyDescent="0.2">
      <c r="A11" s="479" t="s">
        <v>633</v>
      </c>
      <c r="B11" s="479"/>
      <c r="C11" s="479"/>
      <c r="D11" s="479"/>
      <c r="E11" s="479"/>
    </row>
    <row r="12" spans="1:6" x14ac:dyDescent="0.2">
      <c r="C12" s="248"/>
      <c r="D12" s="483" t="s">
        <v>579</v>
      </c>
      <c r="E12" s="483"/>
    </row>
    <row r="13" spans="1:6" s="242" customFormat="1" ht="12.75" customHeight="1" x14ac:dyDescent="0.2">
      <c r="A13" s="9" t="s">
        <v>512</v>
      </c>
      <c r="B13" s="480" t="s">
        <v>580</v>
      </c>
      <c r="C13" s="481"/>
      <c r="D13" s="482" t="s">
        <v>632</v>
      </c>
      <c r="E13" s="482"/>
    </row>
    <row r="14" spans="1:6" ht="15" x14ac:dyDescent="0.25">
      <c r="A14" s="250">
        <v>1</v>
      </c>
      <c r="B14" s="469" t="s">
        <v>581</v>
      </c>
      <c r="C14" s="470"/>
      <c r="D14" s="471">
        <v>2503</v>
      </c>
      <c r="E14" s="472"/>
    </row>
    <row r="15" spans="1:6" ht="15" x14ac:dyDescent="0.25">
      <c r="A15" s="250">
        <v>2</v>
      </c>
      <c r="B15" s="469" t="s">
        <v>582</v>
      </c>
      <c r="C15" s="470"/>
      <c r="D15" s="471">
        <v>1945.4</v>
      </c>
      <c r="E15" s="472"/>
    </row>
    <row r="16" spans="1:6" ht="15" x14ac:dyDescent="0.25">
      <c r="A16" s="250">
        <v>3</v>
      </c>
      <c r="B16" s="469" t="s">
        <v>583</v>
      </c>
      <c r="C16" s="470"/>
      <c r="D16" s="471">
        <v>2223.9</v>
      </c>
      <c r="E16" s="472"/>
    </row>
    <row r="17" spans="1:5" ht="15" x14ac:dyDescent="0.25">
      <c r="A17" s="250">
        <v>4</v>
      </c>
      <c r="B17" s="469" t="s">
        <v>584</v>
      </c>
      <c r="C17" s="470"/>
      <c r="D17" s="471">
        <v>1995.6</v>
      </c>
      <c r="E17" s="472"/>
    </row>
    <row r="18" spans="1:5" ht="15" x14ac:dyDescent="0.25">
      <c r="A18" s="250">
        <v>5</v>
      </c>
      <c r="B18" s="469" t="s">
        <v>585</v>
      </c>
      <c r="C18" s="470"/>
      <c r="D18" s="471">
        <v>2733.2</v>
      </c>
      <c r="E18" s="472"/>
    </row>
    <row r="19" spans="1:5" ht="15" x14ac:dyDescent="0.25">
      <c r="A19" s="250">
        <v>6</v>
      </c>
      <c r="B19" s="469" t="s">
        <v>586</v>
      </c>
      <c r="C19" s="470"/>
      <c r="D19" s="471">
        <v>1751.3</v>
      </c>
      <c r="E19" s="472"/>
    </row>
    <row r="20" spans="1:5" ht="14.25" x14ac:dyDescent="0.2">
      <c r="A20" s="253"/>
      <c r="B20" s="474" t="s">
        <v>602</v>
      </c>
      <c r="C20" s="475"/>
      <c r="D20" s="476">
        <f>SUM(D14:D19)</f>
        <v>13152.399999999998</v>
      </c>
      <c r="E20" s="476"/>
    </row>
    <row r="21" spans="1:5" hidden="1" x14ac:dyDescent="0.2">
      <c r="D21" s="266" t="e">
        <f>+D20/C20%</f>
        <v>#DIV/0!</v>
      </c>
      <c r="E21" s="266">
        <f>+E20/D20%</f>
        <v>0</v>
      </c>
    </row>
    <row r="22" spans="1:5" hidden="1" x14ac:dyDescent="0.2">
      <c r="D22" s="238">
        <f>219+14010</f>
        <v>14229</v>
      </c>
      <c r="E22" s="238">
        <f>14977+180</f>
        <v>15157</v>
      </c>
    </row>
    <row r="23" spans="1:5" hidden="1" x14ac:dyDescent="0.2">
      <c r="D23" s="238">
        <f>+D22-D20</f>
        <v>1076.6000000000022</v>
      </c>
      <c r="E23" s="238">
        <f>+E22-E20</f>
        <v>15157</v>
      </c>
    </row>
    <row r="24" spans="1:5" x14ac:dyDescent="0.2">
      <c r="D24" s="473">
        <v>13152.4</v>
      </c>
      <c r="E24" s="473"/>
    </row>
    <row r="25" spans="1:5" x14ac:dyDescent="0.2">
      <c r="D25" s="473">
        <f>D24-D20</f>
        <v>0</v>
      </c>
      <c r="E25" s="473"/>
    </row>
  </sheetData>
  <mergeCells count="29">
    <mergeCell ref="B6:E6"/>
    <mergeCell ref="B1:E1"/>
    <mergeCell ref="B2:E2"/>
    <mergeCell ref="B3:E3"/>
    <mergeCell ref="B4:E4"/>
    <mergeCell ref="B5:E5"/>
    <mergeCell ref="B7:E7"/>
    <mergeCell ref="A8:E8"/>
    <mergeCell ref="A10:E10"/>
    <mergeCell ref="A11:E11"/>
    <mergeCell ref="B13:C13"/>
    <mergeCell ref="D13:E13"/>
    <mergeCell ref="D12:E12"/>
    <mergeCell ref="B14:C14"/>
    <mergeCell ref="D14:E14"/>
    <mergeCell ref="B15:C15"/>
    <mergeCell ref="D15:E15"/>
    <mergeCell ref="D25:E25"/>
    <mergeCell ref="B19:C19"/>
    <mergeCell ref="D19:E19"/>
    <mergeCell ref="B20:C20"/>
    <mergeCell ref="D20:E20"/>
    <mergeCell ref="D24:E24"/>
    <mergeCell ref="B16:C16"/>
    <mergeCell ref="D16:E16"/>
    <mergeCell ref="B17:C17"/>
    <mergeCell ref="D17:E17"/>
    <mergeCell ref="B18:C18"/>
    <mergeCell ref="D18:E1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5"/>
  <sheetViews>
    <sheetView workbookViewId="0">
      <selection activeCell="J27" sqref="J27"/>
    </sheetView>
  </sheetViews>
  <sheetFormatPr defaultRowHeight="12.75" x14ac:dyDescent="0.2"/>
  <cols>
    <col min="1" max="1" width="5.140625" style="238" customWidth="1"/>
    <col min="2" max="2" width="34.85546875" style="238" customWidth="1"/>
    <col min="3" max="3" width="2.28515625" style="238" customWidth="1"/>
    <col min="4" max="4" width="14.140625" style="238" customWidth="1"/>
    <col min="5" max="5" width="14.42578125" style="238" bestFit="1" customWidth="1"/>
    <col min="6" max="248" width="9.140625" style="238"/>
    <col min="249" max="249" width="5.140625" style="238" customWidth="1"/>
    <col min="250" max="250" width="34.85546875" style="238" customWidth="1"/>
    <col min="251" max="251" width="2.28515625" style="238" customWidth="1"/>
    <col min="252" max="252" width="14.140625" style="238" customWidth="1"/>
    <col min="253" max="253" width="14.42578125" style="238" bestFit="1" customWidth="1"/>
    <col min="254" max="504" width="9.140625" style="238"/>
    <col min="505" max="505" width="5.140625" style="238" customWidth="1"/>
    <col min="506" max="506" width="34.85546875" style="238" customWidth="1"/>
    <col min="507" max="507" width="2.28515625" style="238" customWidth="1"/>
    <col min="508" max="508" width="14.140625" style="238" customWidth="1"/>
    <col min="509" max="509" width="14.42578125" style="238" bestFit="1" customWidth="1"/>
    <col min="510" max="760" width="9.140625" style="238"/>
    <col min="761" max="761" width="5.140625" style="238" customWidth="1"/>
    <col min="762" max="762" width="34.85546875" style="238" customWidth="1"/>
    <col min="763" max="763" width="2.28515625" style="238" customWidth="1"/>
    <col min="764" max="764" width="14.140625" style="238" customWidth="1"/>
    <col min="765" max="765" width="14.42578125" style="238" bestFit="1" customWidth="1"/>
    <col min="766" max="1016" width="9.140625" style="238"/>
    <col min="1017" max="1017" width="5.140625" style="238" customWidth="1"/>
    <col min="1018" max="1018" width="34.85546875" style="238" customWidth="1"/>
    <col min="1019" max="1019" width="2.28515625" style="238" customWidth="1"/>
    <col min="1020" max="1020" width="14.140625" style="238" customWidth="1"/>
    <col min="1021" max="1021" width="14.42578125" style="238" bestFit="1" customWidth="1"/>
    <col min="1022" max="1272" width="9.140625" style="238"/>
    <col min="1273" max="1273" width="5.140625" style="238" customWidth="1"/>
    <col min="1274" max="1274" width="34.85546875" style="238" customWidth="1"/>
    <col min="1275" max="1275" width="2.28515625" style="238" customWidth="1"/>
    <col min="1276" max="1276" width="14.140625" style="238" customWidth="1"/>
    <col min="1277" max="1277" width="14.42578125" style="238" bestFit="1" customWidth="1"/>
    <col min="1278" max="1528" width="9.140625" style="238"/>
    <col min="1529" max="1529" width="5.140625" style="238" customWidth="1"/>
    <col min="1530" max="1530" width="34.85546875" style="238" customWidth="1"/>
    <col min="1531" max="1531" width="2.28515625" style="238" customWidth="1"/>
    <col min="1532" max="1532" width="14.140625" style="238" customWidth="1"/>
    <col min="1533" max="1533" width="14.42578125" style="238" bestFit="1" customWidth="1"/>
    <col min="1534" max="1784" width="9.140625" style="238"/>
    <col min="1785" max="1785" width="5.140625" style="238" customWidth="1"/>
    <col min="1786" max="1786" width="34.85546875" style="238" customWidth="1"/>
    <col min="1787" max="1787" width="2.28515625" style="238" customWidth="1"/>
    <col min="1788" max="1788" width="14.140625" style="238" customWidth="1"/>
    <col min="1789" max="1789" width="14.42578125" style="238" bestFit="1" customWidth="1"/>
    <col min="1790" max="2040" width="9.140625" style="238"/>
    <col min="2041" max="2041" width="5.140625" style="238" customWidth="1"/>
    <col min="2042" max="2042" width="34.85546875" style="238" customWidth="1"/>
    <col min="2043" max="2043" width="2.28515625" style="238" customWidth="1"/>
    <col min="2044" max="2044" width="14.140625" style="238" customWidth="1"/>
    <col min="2045" max="2045" width="14.42578125" style="238" bestFit="1" customWidth="1"/>
    <col min="2046" max="2296" width="9.140625" style="238"/>
    <col min="2297" max="2297" width="5.140625" style="238" customWidth="1"/>
    <col min="2298" max="2298" width="34.85546875" style="238" customWidth="1"/>
    <col min="2299" max="2299" width="2.28515625" style="238" customWidth="1"/>
    <col min="2300" max="2300" width="14.140625" style="238" customWidth="1"/>
    <col min="2301" max="2301" width="14.42578125" style="238" bestFit="1" customWidth="1"/>
    <col min="2302" max="2552" width="9.140625" style="238"/>
    <col min="2553" max="2553" width="5.140625" style="238" customWidth="1"/>
    <col min="2554" max="2554" width="34.85546875" style="238" customWidth="1"/>
    <col min="2555" max="2555" width="2.28515625" style="238" customWidth="1"/>
    <col min="2556" max="2556" width="14.140625" style="238" customWidth="1"/>
    <col min="2557" max="2557" width="14.42578125" style="238" bestFit="1" customWidth="1"/>
    <col min="2558" max="2808" width="9.140625" style="238"/>
    <col min="2809" max="2809" width="5.140625" style="238" customWidth="1"/>
    <col min="2810" max="2810" width="34.85546875" style="238" customWidth="1"/>
    <col min="2811" max="2811" width="2.28515625" style="238" customWidth="1"/>
    <col min="2812" max="2812" width="14.140625" style="238" customWidth="1"/>
    <col min="2813" max="2813" width="14.42578125" style="238" bestFit="1" customWidth="1"/>
    <col min="2814" max="3064" width="9.140625" style="238"/>
    <col min="3065" max="3065" width="5.140625" style="238" customWidth="1"/>
    <col min="3066" max="3066" width="34.85546875" style="238" customWidth="1"/>
    <col min="3067" max="3067" width="2.28515625" style="238" customWidth="1"/>
    <col min="3068" max="3068" width="14.140625" style="238" customWidth="1"/>
    <col min="3069" max="3069" width="14.42578125" style="238" bestFit="1" customWidth="1"/>
    <col min="3070" max="3320" width="9.140625" style="238"/>
    <col min="3321" max="3321" width="5.140625" style="238" customWidth="1"/>
    <col min="3322" max="3322" width="34.85546875" style="238" customWidth="1"/>
    <col min="3323" max="3323" width="2.28515625" style="238" customWidth="1"/>
    <col min="3324" max="3324" width="14.140625" style="238" customWidth="1"/>
    <col min="3325" max="3325" width="14.42578125" style="238" bestFit="1" customWidth="1"/>
    <col min="3326" max="3576" width="9.140625" style="238"/>
    <col min="3577" max="3577" width="5.140625" style="238" customWidth="1"/>
    <col min="3578" max="3578" width="34.85546875" style="238" customWidth="1"/>
    <col min="3579" max="3579" width="2.28515625" style="238" customWidth="1"/>
    <col min="3580" max="3580" width="14.140625" style="238" customWidth="1"/>
    <col min="3581" max="3581" width="14.42578125" style="238" bestFit="1" customWidth="1"/>
    <col min="3582" max="3832" width="9.140625" style="238"/>
    <col min="3833" max="3833" width="5.140625" style="238" customWidth="1"/>
    <col min="3834" max="3834" width="34.85546875" style="238" customWidth="1"/>
    <col min="3835" max="3835" width="2.28515625" style="238" customWidth="1"/>
    <col min="3836" max="3836" width="14.140625" style="238" customWidth="1"/>
    <col min="3837" max="3837" width="14.42578125" style="238" bestFit="1" customWidth="1"/>
    <col min="3838" max="4088" width="9.140625" style="238"/>
    <col min="4089" max="4089" width="5.140625" style="238" customWidth="1"/>
    <col min="4090" max="4090" width="34.85546875" style="238" customWidth="1"/>
    <col min="4091" max="4091" width="2.28515625" style="238" customWidth="1"/>
    <col min="4092" max="4092" width="14.140625" style="238" customWidth="1"/>
    <col min="4093" max="4093" width="14.42578125" style="238" bestFit="1" customWidth="1"/>
    <col min="4094" max="4344" width="9.140625" style="238"/>
    <col min="4345" max="4345" width="5.140625" style="238" customWidth="1"/>
    <col min="4346" max="4346" width="34.85546875" style="238" customWidth="1"/>
    <col min="4347" max="4347" width="2.28515625" style="238" customWidth="1"/>
    <col min="4348" max="4348" width="14.140625" style="238" customWidth="1"/>
    <col min="4349" max="4349" width="14.42578125" style="238" bestFit="1" customWidth="1"/>
    <col min="4350" max="4600" width="9.140625" style="238"/>
    <col min="4601" max="4601" width="5.140625" style="238" customWidth="1"/>
    <col min="4602" max="4602" width="34.85546875" style="238" customWidth="1"/>
    <col min="4603" max="4603" width="2.28515625" style="238" customWidth="1"/>
    <col min="4604" max="4604" width="14.140625" style="238" customWidth="1"/>
    <col min="4605" max="4605" width="14.42578125" style="238" bestFit="1" customWidth="1"/>
    <col min="4606" max="4856" width="9.140625" style="238"/>
    <col min="4857" max="4857" width="5.140625" style="238" customWidth="1"/>
    <col min="4858" max="4858" width="34.85546875" style="238" customWidth="1"/>
    <col min="4859" max="4859" width="2.28515625" style="238" customWidth="1"/>
    <col min="4860" max="4860" width="14.140625" style="238" customWidth="1"/>
    <col min="4861" max="4861" width="14.42578125" style="238" bestFit="1" customWidth="1"/>
    <col min="4862" max="5112" width="9.140625" style="238"/>
    <col min="5113" max="5113" width="5.140625" style="238" customWidth="1"/>
    <col min="5114" max="5114" width="34.85546875" style="238" customWidth="1"/>
    <col min="5115" max="5115" width="2.28515625" style="238" customWidth="1"/>
    <col min="5116" max="5116" width="14.140625" style="238" customWidth="1"/>
    <col min="5117" max="5117" width="14.42578125" style="238" bestFit="1" customWidth="1"/>
    <col min="5118" max="5368" width="9.140625" style="238"/>
    <col min="5369" max="5369" width="5.140625" style="238" customWidth="1"/>
    <col min="5370" max="5370" width="34.85546875" style="238" customWidth="1"/>
    <col min="5371" max="5371" width="2.28515625" style="238" customWidth="1"/>
    <col min="5372" max="5372" width="14.140625" style="238" customWidth="1"/>
    <col min="5373" max="5373" width="14.42578125" style="238" bestFit="1" customWidth="1"/>
    <col min="5374" max="5624" width="9.140625" style="238"/>
    <col min="5625" max="5625" width="5.140625" style="238" customWidth="1"/>
    <col min="5626" max="5626" width="34.85546875" style="238" customWidth="1"/>
    <col min="5627" max="5627" width="2.28515625" style="238" customWidth="1"/>
    <col min="5628" max="5628" width="14.140625" style="238" customWidth="1"/>
    <col min="5629" max="5629" width="14.42578125" style="238" bestFit="1" customWidth="1"/>
    <col min="5630" max="5880" width="9.140625" style="238"/>
    <col min="5881" max="5881" width="5.140625" style="238" customWidth="1"/>
    <col min="5882" max="5882" width="34.85546875" style="238" customWidth="1"/>
    <col min="5883" max="5883" width="2.28515625" style="238" customWidth="1"/>
    <col min="5884" max="5884" width="14.140625" style="238" customWidth="1"/>
    <col min="5885" max="5885" width="14.42578125" style="238" bestFit="1" customWidth="1"/>
    <col min="5886" max="6136" width="9.140625" style="238"/>
    <col min="6137" max="6137" width="5.140625" style="238" customWidth="1"/>
    <col min="6138" max="6138" width="34.85546875" style="238" customWidth="1"/>
    <col min="6139" max="6139" width="2.28515625" style="238" customWidth="1"/>
    <col min="6140" max="6140" width="14.140625" style="238" customWidth="1"/>
    <col min="6141" max="6141" width="14.42578125" style="238" bestFit="1" customWidth="1"/>
    <col min="6142" max="6392" width="9.140625" style="238"/>
    <col min="6393" max="6393" width="5.140625" style="238" customWidth="1"/>
    <col min="6394" max="6394" width="34.85546875" style="238" customWidth="1"/>
    <col min="6395" max="6395" width="2.28515625" style="238" customWidth="1"/>
    <col min="6396" max="6396" width="14.140625" style="238" customWidth="1"/>
    <col min="6397" max="6397" width="14.42578125" style="238" bestFit="1" customWidth="1"/>
    <col min="6398" max="6648" width="9.140625" style="238"/>
    <col min="6649" max="6649" width="5.140625" style="238" customWidth="1"/>
    <col min="6650" max="6650" width="34.85546875" style="238" customWidth="1"/>
    <col min="6651" max="6651" width="2.28515625" style="238" customWidth="1"/>
    <col min="6652" max="6652" width="14.140625" style="238" customWidth="1"/>
    <col min="6653" max="6653" width="14.42578125" style="238" bestFit="1" customWidth="1"/>
    <col min="6654" max="6904" width="9.140625" style="238"/>
    <col min="6905" max="6905" width="5.140625" style="238" customWidth="1"/>
    <col min="6906" max="6906" width="34.85546875" style="238" customWidth="1"/>
    <col min="6907" max="6907" width="2.28515625" style="238" customWidth="1"/>
    <col min="6908" max="6908" width="14.140625" style="238" customWidth="1"/>
    <col min="6909" max="6909" width="14.42578125" style="238" bestFit="1" customWidth="1"/>
    <col min="6910" max="7160" width="9.140625" style="238"/>
    <col min="7161" max="7161" width="5.140625" style="238" customWidth="1"/>
    <col min="7162" max="7162" width="34.85546875" style="238" customWidth="1"/>
    <col min="7163" max="7163" width="2.28515625" style="238" customWidth="1"/>
    <col min="7164" max="7164" width="14.140625" style="238" customWidth="1"/>
    <col min="7165" max="7165" width="14.42578125" style="238" bestFit="1" customWidth="1"/>
    <col min="7166" max="7416" width="9.140625" style="238"/>
    <col min="7417" max="7417" width="5.140625" style="238" customWidth="1"/>
    <col min="7418" max="7418" width="34.85546875" style="238" customWidth="1"/>
    <col min="7419" max="7419" width="2.28515625" style="238" customWidth="1"/>
    <col min="7420" max="7420" width="14.140625" style="238" customWidth="1"/>
    <col min="7421" max="7421" width="14.42578125" style="238" bestFit="1" customWidth="1"/>
    <col min="7422" max="7672" width="9.140625" style="238"/>
    <col min="7673" max="7673" width="5.140625" style="238" customWidth="1"/>
    <col min="7674" max="7674" width="34.85546875" style="238" customWidth="1"/>
    <col min="7675" max="7675" width="2.28515625" style="238" customWidth="1"/>
    <col min="7676" max="7676" width="14.140625" style="238" customWidth="1"/>
    <col min="7677" max="7677" width="14.42578125" style="238" bestFit="1" customWidth="1"/>
    <col min="7678" max="7928" width="9.140625" style="238"/>
    <col min="7929" max="7929" width="5.140625" style="238" customWidth="1"/>
    <col min="7930" max="7930" width="34.85546875" style="238" customWidth="1"/>
    <col min="7931" max="7931" width="2.28515625" style="238" customWidth="1"/>
    <col min="7932" max="7932" width="14.140625" style="238" customWidth="1"/>
    <col min="7933" max="7933" width="14.42578125" style="238" bestFit="1" customWidth="1"/>
    <col min="7934" max="8184" width="9.140625" style="238"/>
    <col min="8185" max="8185" width="5.140625" style="238" customWidth="1"/>
    <col min="8186" max="8186" width="34.85546875" style="238" customWidth="1"/>
    <col min="8187" max="8187" width="2.28515625" style="238" customWidth="1"/>
    <col min="8188" max="8188" width="14.140625" style="238" customWidth="1"/>
    <col min="8189" max="8189" width="14.42578125" style="238" bestFit="1" customWidth="1"/>
    <col min="8190" max="8440" width="9.140625" style="238"/>
    <col min="8441" max="8441" width="5.140625" style="238" customWidth="1"/>
    <col min="8442" max="8442" width="34.85546875" style="238" customWidth="1"/>
    <col min="8443" max="8443" width="2.28515625" style="238" customWidth="1"/>
    <col min="8444" max="8444" width="14.140625" style="238" customWidth="1"/>
    <col min="8445" max="8445" width="14.42578125" style="238" bestFit="1" customWidth="1"/>
    <col min="8446" max="8696" width="9.140625" style="238"/>
    <col min="8697" max="8697" width="5.140625" style="238" customWidth="1"/>
    <col min="8698" max="8698" width="34.85546875" style="238" customWidth="1"/>
    <col min="8699" max="8699" width="2.28515625" style="238" customWidth="1"/>
    <col min="8700" max="8700" width="14.140625" style="238" customWidth="1"/>
    <col min="8701" max="8701" width="14.42578125" style="238" bestFit="1" customWidth="1"/>
    <col min="8702" max="8952" width="9.140625" style="238"/>
    <col min="8953" max="8953" width="5.140625" style="238" customWidth="1"/>
    <col min="8954" max="8954" width="34.85546875" style="238" customWidth="1"/>
    <col min="8955" max="8955" width="2.28515625" style="238" customWidth="1"/>
    <col min="8956" max="8956" width="14.140625" style="238" customWidth="1"/>
    <col min="8957" max="8957" width="14.42578125" style="238" bestFit="1" customWidth="1"/>
    <col min="8958" max="9208" width="9.140625" style="238"/>
    <col min="9209" max="9209" width="5.140625" style="238" customWidth="1"/>
    <col min="9210" max="9210" width="34.85546875" style="238" customWidth="1"/>
    <col min="9211" max="9211" width="2.28515625" style="238" customWidth="1"/>
    <col min="9212" max="9212" width="14.140625" style="238" customWidth="1"/>
    <col min="9213" max="9213" width="14.42578125" style="238" bestFit="1" customWidth="1"/>
    <col min="9214" max="9464" width="9.140625" style="238"/>
    <col min="9465" max="9465" width="5.140625" style="238" customWidth="1"/>
    <col min="9466" max="9466" width="34.85546875" style="238" customWidth="1"/>
    <col min="9467" max="9467" width="2.28515625" style="238" customWidth="1"/>
    <col min="9468" max="9468" width="14.140625" style="238" customWidth="1"/>
    <col min="9469" max="9469" width="14.42578125" style="238" bestFit="1" customWidth="1"/>
    <col min="9470" max="9720" width="9.140625" style="238"/>
    <col min="9721" max="9721" width="5.140625" style="238" customWidth="1"/>
    <col min="9722" max="9722" width="34.85546875" style="238" customWidth="1"/>
    <col min="9723" max="9723" width="2.28515625" style="238" customWidth="1"/>
    <col min="9724" max="9724" width="14.140625" style="238" customWidth="1"/>
    <col min="9725" max="9725" width="14.42578125" style="238" bestFit="1" customWidth="1"/>
    <col min="9726" max="9976" width="9.140625" style="238"/>
    <col min="9977" max="9977" width="5.140625" style="238" customWidth="1"/>
    <col min="9978" max="9978" width="34.85546875" style="238" customWidth="1"/>
    <col min="9979" max="9979" width="2.28515625" style="238" customWidth="1"/>
    <col min="9980" max="9980" width="14.140625" style="238" customWidth="1"/>
    <col min="9981" max="9981" width="14.42578125" style="238" bestFit="1" customWidth="1"/>
    <col min="9982" max="10232" width="9.140625" style="238"/>
    <col min="10233" max="10233" width="5.140625" style="238" customWidth="1"/>
    <col min="10234" max="10234" width="34.85546875" style="238" customWidth="1"/>
    <col min="10235" max="10235" width="2.28515625" style="238" customWidth="1"/>
    <col min="10236" max="10236" width="14.140625" style="238" customWidth="1"/>
    <col min="10237" max="10237" width="14.42578125" style="238" bestFit="1" customWidth="1"/>
    <col min="10238" max="10488" width="9.140625" style="238"/>
    <col min="10489" max="10489" width="5.140625" style="238" customWidth="1"/>
    <col min="10490" max="10490" width="34.85546875" style="238" customWidth="1"/>
    <col min="10491" max="10491" width="2.28515625" style="238" customWidth="1"/>
    <col min="10492" max="10492" width="14.140625" style="238" customWidth="1"/>
    <col min="10493" max="10493" width="14.42578125" style="238" bestFit="1" customWidth="1"/>
    <col min="10494" max="10744" width="9.140625" style="238"/>
    <col min="10745" max="10745" width="5.140625" style="238" customWidth="1"/>
    <col min="10746" max="10746" width="34.85546875" style="238" customWidth="1"/>
    <col min="10747" max="10747" width="2.28515625" style="238" customWidth="1"/>
    <col min="10748" max="10748" width="14.140625" style="238" customWidth="1"/>
    <col min="10749" max="10749" width="14.42578125" style="238" bestFit="1" customWidth="1"/>
    <col min="10750" max="11000" width="9.140625" style="238"/>
    <col min="11001" max="11001" width="5.140625" style="238" customWidth="1"/>
    <col min="11002" max="11002" width="34.85546875" style="238" customWidth="1"/>
    <col min="11003" max="11003" width="2.28515625" style="238" customWidth="1"/>
    <col min="11004" max="11004" width="14.140625" style="238" customWidth="1"/>
    <col min="11005" max="11005" width="14.42578125" style="238" bestFit="1" customWidth="1"/>
    <col min="11006" max="11256" width="9.140625" style="238"/>
    <col min="11257" max="11257" width="5.140625" style="238" customWidth="1"/>
    <col min="11258" max="11258" width="34.85546875" style="238" customWidth="1"/>
    <col min="11259" max="11259" width="2.28515625" style="238" customWidth="1"/>
    <col min="11260" max="11260" width="14.140625" style="238" customWidth="1"/>
    <col min="11261" max="11261" width="14.42578125" style="238" bestFit="1" customWidth="1"/>
    <col min="11262" max="11512" width="9.140625" style="238"/>
    <col min="11513" max="11513" width="5.140625" style="238" customWidth="1"/>
    <col min="11514" max="11514" width="34.85546875" style="238" customWidth="1"/>
    <col min="11515" max="11515" width="2.28515625" style="238" customWidth="1"/>
    <col min="11516" max="11516" width="14.140625" style="238" customWidth="1"/>
    <col min="11517" max="11517" width="14.42578125" style="238" bestFit="1" customWidth="1"/>
    <col min="11518" max="11768" width="9.140625" style="238"/>
    <col min="11769" max="11769" width="5.140625" style="238" customWidth="1"/>
    <col min="11770" max="11770" width="34.85546875" style="238" customWidth="1"/>
    <col min="11771" max="11771" width="2.28515625" style="238" customWidth="1"/>
    <col min="11772" max="11772" width="14.140625" style="238" customWidth="1"/>
    <col min="11773" max="11773" width="14.42578125" style="238" bestFit="1" customWidth="1"/>
    <col min="11774" max="12024" width="9.140625" style="238"/>
    <col min="12025" max="12025" width="5.140625" style="238" customWidth="1"/>
    <col min="12026" max="12026" width="34.85546875" style="238" customWidth="1"/>
    <col min="12027" max="12027" width="2.28515625" style="238" customWidth="1"/>
    <col min="12028" max="12028" width="14.140625" style="238" customWidth="1"/>
    <col min="12029" max="12029" width="14.42578125" style="238" bestFit="1" customWidth="1"/>
    <col min="12030" max="12280" width="9.140625" style="238"/>
    <col min="12281" max="12281" width="5.140625" style="238" customWidth="1"/>
    <col min="12282" max="12282" width="34.85546875" style="238" customWidth="1"/>
    <col min="12283" max="12283" width="2.28515625" style="238" customWidth="1"/>
    <col min="12284" max="12284" width="14.140625" style="238" customWidth="1"/>
    <col min="12285" max="12285" width="14.42578125" style="238" bestFit="1" customWidth="1"/>
    <col min="12286" max="12536" width="9.140625" style="238"/>
    <col min="12537" max="12537" width="5.140625" style="238" customWidth="1"/>
    <col min="12538" max="12538" width="34.85546875" style="238" customWidth="1"/>
    <col min="12539" max="12539" width="2.28515625" style="238" customWidth="1"/>
    <col min="12540" max="12540" width="14.140625" style="238" customWidth="1"/>
    <col min="12541" max="12541" width="14.42578125" style="238" bestFit="1" customWidth="1"/>
    <col min="12542" max="12792" width="9.140625" style="238"/>
    <col min="12793" max="12793" width="5.140625" style="238" customWidth="1"/>
    <col min="12794" max="12794" width="34.85546875" style="238" customWidth="1"/>
    <col min="12795" max="12795" width="2.28515625" style="238" customWidth="1"/>
    <col min="12796" max="12796" width="14.140625" style="238" customWidth="1"/>
    <col min="12797" max="12797" width="14.42578125" style="238" bestFit="1" customWidth="1"/>
    <col min="12798" max="13048" width="9.140625" style="238"/>
    <col min="13049" max="13049" width="5.140625" style="238" customWidth="1"/>
    <col min="13050" max="13050" width="34.85546875" style="238" customWidth="1"/>
    <col min="13051" max="13051" width="2.28515625" style="238" customWidth="1"/>
    <col min="13052" max="13052" width="14.140625" style="238" customWidth="1"/>
    <col min="13053" max="13053" width="14.42578125" style="238" bestFit="1" customWidth="1"/>
    <col min="13054" max="13304" width="9.140625" style="238"/>
    <col min="13305" max="13305" width="5.140625" style="238" customWidth="1"/>
    <col min="13306" max="13306" width="34.85546875" style="238" customWidth="1"/>
    <col min="13307" max="13307" width="2.28515625" style="238" customWidth="1"/>
    <col min="13308" max="13308" width="14.140625" style="238" customWidth="1"/>
    <col min="13309" max="13309" width="14.42578125" style="238" bestFit="1" customWidth="1"/>
    <col min="13310" max="13560" width="9.140625" style="238"/>
    <col min="13561" max="13561" width="5.140625" style="238" customWidth="1"/>
    <col min="13562" max="13562" width="34.85546875" style="238" customWidth="1"/>
    <col min="13563" max="13563" width="2.28515625" style="238" customWidth="1"/>
    <col min="13564" max="13564" width="14.140625" style="238" customWidth="1"/>
    <col min="13565" max="13565" width="14.42578125" style="238" bestFit="1" customWidth="1"/>
    <col min="13566" max="13816" width="9.140625" style="238"/>
    <col min="13817" max="13817" width="5.140625" style="238" customWidth="1"/>
    <col min="13818" max="13818" width="34.85546875" style="238" customWidth="1"/>
    <col min="13819" max="13819" width="2.28515625" style="238" customWidth="1"/>
    <col min="13820" max="13820" width="14.140625" style="238" customWidth="1"/>
    <col min="13821" max="13821" width="14.42578125" style="238" bestFit="1" customWidth="1"/>
    <col min="13822" max="14072" width="9.140625" style="238"/>
    <col min="14073" max="14073" width="5.140625" style="238" customWidth="1"/>
    <col min="14074" max="14074" width="34.85546875" style="238" customWidth="1"/>
    <col min="14075" max="14075" width="2.28515625" style="238" customWidth="1"/>
    <col min="14076" max="14076" width="14.140625" style="238" customWidth="1"/>
    <col min="14077" max="14077" width="14.42578125" style="238" bestFit="1" customWidth="1"/>
    <col min="14078" max="14328" width="9.140625" style="238"/>
    <col min="14329" max="14329" width="5.140625" style="238" customWidth="1"/>
    <col min="14330" max="14330" width="34.85546875" style="238" customWidth="1"/>
    <col min="14331" max="14331" width="2.28515625" style="238" customWidth="1"/>
    <col min="14332" max="14332" width="14.140625" style="238" customWidth="1"/>
    <col min="14333" max="14333" width="14.42578125" style="238" bestFit="1" customWidth="1"/>
    <col min="14334" max="14584" width="9.140625" style="238"/>
    <col min="14585" max="14585" width="5.140625" style="238" customWidth="1"/>
    <col min="14586" max="14586" width="34.85546875" style="238" customWidth="1"/>
    <col min="14587" max="14587" width="2.28515625" style="238" customWidth="1"/>
    <col min="14588" max="14588" width="14.140625" style="238" customWidth="1"/>
    <col min="14589" max="14589" width="14.42578125" style="238" bestFit="1" customWidth="1"/>
    <col min="14590" max="14840" width="9.140625" style="238"/>
    <col min="14841" max="14841" width="5.140625" style="238" customWidth="1"/>
    <col min="14842" max="14842" width="34.85546875" style="238" customWidth="1"/>
    <col min="14843" max="14843" width="2.28515625" style="238" customWidth="1"/>
    <col min="14844" max="14844" width="14.140625" style="238" customWidth="1"/>
    <col min="14845" max="14845" width="14.42578125" style="238" bestFit="1" customWidth="1"/>
    <col min="14846" max="15096" width="9.140625" style="238"/>
    <col min="15097" max="15097" width="5.140625" style="238" customWidth="1"/>
    <col min="15098" max="15098" width="34.85546875" style="238" customWidth="1"/>
    <col min="15099" max="15099" width="2.28515625" style="238" customWidth="1"/>
    <col min="15100" max="15100" width="14.140625" style="238" customWidth="1"/>
    <col min="15101" max="15101" width="14.42578125" style="238" bestFit="1" customWidth="1"/>
    <col min="15102" max="15352" width="9.140625" style="238"/>
    <col min="15353" max="15353" width="5.140625" style="238" customWidth="1"/>
    <col min="15354" max="15354" width="34.85546875" style="238" customWidth="1"/>
    <col min="15355" max="15355" width="2.28515625" style="238" customWidth="1"/>
    <col min="15356" max="15356" width="14.140625" style="238" customWidth="1"/>
    <col min="15357" max="15357" width="14.42578125" style="238" bestFit="1" customWidth="1"/>
    <col min="15358" max="15608" width="9.140625" style="238"/>
    <col min="15609" max="15609" width="5.140625" style="238" customWidth="1"/>
    <col min="15610" max="15610" width="34.85546875" style="238" customWidth="1"/>
    <col min="15611" max="15611" width="2.28515625" style="238" customWidth="1"/>
    <col min="15612" max="15612" width="14.140625" style="238" customWidth="1"/>
    <col min="15613" max="15613" width="14.42578125" style="238" bestFit="1" customWidth="1"/>
    <col min="15614" max="15864" width="9.140625" style="238"/>
    <col min="15865" max="15865" width="5.140625" style="238" customWidth="1"/>
    <col min="15866" max="15866" width="34.85546875" style="238" customWidth="1"/>
    <col min="15867" max="15867" width="2.28515625" style="238" customWidth="1"/>
    <col min="15868" max="15868" width="14.140625" style="238" customWidth="1"/>
    <col min="15869" max="15869" width="14.42578125" style="238" bestFit="1" customWidth="1"/>
    <col min="15870" max="16120" width="9.140625" style="238"/>
    <col min="16121" max="16121" width="5.140625" style="238" customWidth="1"/>
    <col min="16122" max="16122" width="34.85546875" style="238" customWidth="1"/>
    <col min="16123" max="16123" width="2.28515625" style="238" customWidth="1"/>
    <col min="16124" max="16124" width="14.140625" style="238" customWidth="1"/>
    <col min="16125" max="16125" width="14.42578125" style="238" bestFit="1" customWidth="1"/>
    <col min="16126" max="16384" width="9.140625" style="238"/>
  </cols>
  <sheetData>
    <row r="1" spans="1:5" x14ac:dyDescent="0.2">
      <c r="B1" s="484" t="s">
        <v>634</v>
      </c>
      <c r="C1" s="484"/>
      <c r="D1" s="484"/>
      <c r="E1" s="484"/>
    </row>
    <row r="2" spans="1:5" x14ac:dyDescent="0.2">
      <c r="B2" s="436" t="s">
        <v>575</v>
      </c>
      <c r="C2" s="436"/>
      <c r="D2" s="436"/>
      <c r="E2" s="436"/>
    </row>
    <row r="3" spans="1:5" x14ac:dyDescent="0.2">
      <c r="B3" s="436" t="s">
        <v>576</v>
      </c>
      <c r="C3" s="436"/>
      <c r="D3" s="436"/>
      <c r="E3" s="436"/>
    </row>
    <row r="4" spans="1:5" x14ac:dyDescent="0.2">
      <c r="B4" s="436" t="s">
        <v>577</v>
      </c>
      <c r="C4" s="436"/>
      <c r="D4" s="436"/>
      <c r="E4" s="436"/>
    </row>
    <row r="5" spans="1:5" x14ac:dyDescent="0.2">
      <c r="B5" s="436" t="s">
        <v>636</v>
      </c>
      <c r="C5" s="436"/>
      <c r="D5" s="436"/>
      <c r="E5" s="436"/>
    </row>
    <row r="6" spans="1:5" ht="12.75" customHeight="1" x14ac:dyDescent="0.2">
      <c r="B6" s="436" t="s">
        <v>578</v>
      </c>
      <c r="C6" s="436"/>
      <c r="D6" s="436"/>
      <c r="E6" s="436"/>
    </row>
    <row r="7" spans="1:5" ht="12.75" customHeight="1" x14ac:dyDescent="0.2">
      <c r="B7" s="477" t="s">
        <v>577</v>
      </c>
      <c r="C7" s="477"/>
      <c r="D7" s="477"/>
      <c r="E7" s="477"/>
    </row>
    <row r="8" spans="1:5" ht="12.75" customHeight="1" x14ac:dyDescent="0.2">
      <c r="B8" s="436" t="s">
        <v>637</v>
      </c>
      <c r="C8" s="436"/>
      <c r="D8" s="436"/>
      <c r="E8" s="436"/>
    </row>
    <row r="9" spans="1:5" x14ac:dyDescent="0.2">
      <c r="B9" s="473"/>
      <c r="C9" s="473"/>
      <c r="D9" s="473"/>
      <c r="E9" s="473"/>
    </row>
    <row r="10" spans="1:5" x14ac:dyDescent="0.2">
      <c r="A10" s="478" t="s">
        <v>601</v>
      </c>
      <c r="B10" s="478"/>
      <c r="C10" s="478"/>
      <c r="D10" s="478"/>
      <c r="E10" s="478"/>
    </row>
    <row r="11" spans="1:5" s="259" customFormat="1" ht="41.25" customHeight="1" x14ac:dyDescent="0.2">
      <c r="A11" s="490" t="s">
        <v>639</v>
      </c>
      <c r="B11" s="490"/>
      <c r="C11" s="490"/>
      <c r="D11" s="490"/>
      <c r="E11" s="490"/>
    </row>
    <row r="12" spans="1:5" x14ac:dyDescent="0.2">
      <c r="C12" s="248"/>
      <c r="D12" s="483" t="s">
        <v>579</v>
      </c>
      <c r="E12" s="483"/>
    </row>
    <row r="13" spans="1:5" x14ac:dyDescent="0.2">
      <c r="A13" s="482" t="s">
        <v>512</v>
      </c>
      <c r="B13" s="482" t="s">
        <v>580</v>
      </c>
      <c r="C13" s="482"/>
      <c r="D13" s="489" t="s">
        <v>95</v>
      </c>
      <c r="E13" s="489"/>
    </row>
    <row r="14" spans="1:5" s="242" customFormat="1" ht="12.75" customHeight="1" x14ac:dyDescent="0.2">
      <c r="A14" s="482"/>
      <c r="B14" s="482"/>
      <c r="C14" s="482"/>
      <c r="D14" s="50" t="s">
        <v>635</v>
      </c>
      <c r="E14" s="50" t="s">
        <v>638</v>
      </c>
    </row>
    <row r="15" spans="1:5" hidden="1" x14ac:dyDescent="0.2">
      <c r="A15" s="269" t="s">
        <v>617</v>
      </c>
      <c r="B15" s="485" t="s">
        <v>631</v>
      </c>
      <c r="C15" s="486"/>
      <c r="D15" s="271">
        <v>0</v>
      </c>
      <c r="E15" s="271">
        <v>0</v>
      </c>
    </row>
    <row r="16" spans="1:5" x14ac:dyDescent="0.2">
      <c r="A16" s="243">
        <v>1</v>
      </c>
      <c r="B16" s="485" t="s">
        <v>581</v>
      </c>
      <c r="C16" s="486"/>
      <c r="D16" s="270">
        <v>2232.6</v>
      </c>
      <c r="E16" s="270">
        <v>2187.6</v>
      </c>
    </row>
    <row r="17" spans="1:5" x14ac:dyDescent="0.2">
      <c r="A17" s="243">
        <v>2</v>
      </c>
      <c r="B17" s="485" t="s">
        <v>582</v>
      </c>
      <c r="C17" s="486"/>
      <c r="D17" s="270">
        <v>1735.3</v>
      </c>
      <c r="E17" s="270">
        <v>1700.3</v>
      </c>
    </row>
    <row r="18" spans="1:5" x14ac:dyDescent="0.2">
      <c r="A18" s="243">
        <v>3</v>
      </c>
      <c r="B18" s="485" t="s">
        <v>583</v>
      </c>
      <c r="C18" s="486"/>
      <c r="D18" s="270">
        <v>1983.7</v>
      </c>
      <c r="E18" s="270">
        <v>1943.7</v>
      </c>
    </row>
    <row r="19" spans="1:5" x14ac:dyDescent="0.2">
      <c r="A19" s="243">
        <v>4</v>
      </c>
      <c r="B19" s="485" t="s">
        <v>584</v>
      </c>
      <c r="C19" s="486"/>
      <c r="D19" s="270">
        <v>1780.1</v>
      </c>
      <c r="E19" s="270">
        <v>1744.2</v>
      </c>
    </row>
    <row r="20" spans="1:5" x14ac:dyDescent="0.2">
      <c r="A20" s="243">
        <v>5</v>
      </c>
      <c r="B20" s="485" t="s">
        <v>585</v>
      </c>
      <c r="C20" s="486"/>
      <c r="D20" s="270">
        <v>2438</v>
      </c>
      <c r="E20" s="270">
        <v>2388.8000000000002</v>
      </c>
    </row>
    <row r="21" spans="1:5" x14ac:dyDescent="0.2">
      <c r="A21" s="243">
        <v>6</v>
      </c>
      <c r="B21" s="485" t="s">
        <v>586</v>
      </c>
      <c r="C21" s="486"/>
      <c r="D21" s="270">
        <v>1562.2</v>
      </c>
      <c r="E21" s="270">
        <v>1530.6</v>
      </c>
    </row>
    <row r="22" spans="1:5" x14ac:dyDescent="0.2">
      <c r="A22" s="244"/>
      <c r="B22" s="487" t="s">
        <v>602</v>
      </c>
      <c r="C22" s="488"/>
      <c r="D22" s="379">
        <f>SUM(D15:D21)</f>
        <v>11731.9</v>
      </c>
      <c r="E22" s="379">
        <f>SUM(E15:E21)</f>
        <v>11495.199999999999</v>
      </c>
    </row>
    <row r="23" spans="1:5" hidden="1" x14ac:dyDescent="0.2">
      <c r="D23" s="266" t="e">
        <f>+D22/C22%</f>
        <v>#DIV/0!</v>
      </c>
      <c r="E23" s="266">
        <f>+E22/D22%</f>
        <v>97.982423989294134</v>
      </c>
    </row>
    <row r="24" spans="1:5" hidden="1" x14ac:dyDescent="0.2">
      <c r="D24" s="238">
        <f>219+14010</f>
        <v>14229</v>
      </c>
      <c r="E24" s="238">
        <f>14977+180</f>
        <v>15157</v>
      </c>
    </row>
    <row r="25" spans="1:5" hidden="1" x14ac:dyDescent="0.2">
      <c r="D25" s="238">
        <f>+D24-D22</f>
        <v>2497.1000000000004</v>
      </c>
      <c r="E25" s="238">
        <f>+E24-E22</f>
        <v>3661.8000000000011</v>
      </c>
    </row>
  </sheetData>
  <mergeCells count="23">
    <mergeCell ref="A13:A14"/>
    <mergeCell ref="B13:C14"/>
    <mergeCell ref="D13:E13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A10:E10"/>
    <mergeCell ref="A11:E11"/>
    <mergeCell ref="B21:C21"/>
    <mergeCell ref="B22:C22"/>
    <mergeCell ref="D12:E12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"/>
  <sheetViews>
    <sheetView view="pageBreakPreview" zoomScale="60" zoomScaleNormal="100" workbookViewId="0">
      <selection activeCell="D14" sqref="D14:D17"/>
    </sheetView>
  </sheetViews>
  <sheetFormatPr defaultRowHeight="12.75" x14ac:dyDescent="0.2"/>
  <cols>
    <col min="1" max="1" width="5.140625" style="238" customWidth="1"/>
    <col min="2" max="2" width="33.7109375" style="238" customWidth="1"/>
    <col min="3" max="3" width="14.140625" style="238" customWidth="1"/>
    <col min="4" max="4" width="21.140625" style="238" customWidth="1"/>
    <col min="5" max="6" width="14.28515625" style="238" customWidth="1"/>
    <col min="7" max="256" width="9.140625" style="238"/>
    <col min="257" max="257" width="5.140625" style="238" customWidth="1"/>
    <col min="258" max="258" width="33.7109375" style="238" customWidth="1"/>
    <col min="259" max="259" width="14.140625" style="238" customWidth="1"/>
    <col min="260" max="260" width="21.140625" style="238" customWidth="1"/>
    <col min="261" max="262" width="14.28515625" style="238" customWidth="1"/>
    <col min="263" max="512" width="9.140625" style="238"/>
    <col min="513" max="513" width="5.140625" style="238" customWidth="1"/>
    <col min="514" max="514" width="33.7109375" style="238" customWidth="1"/>
    <col min="515" max="515" width="14.140625" style="238" customWidth="1"/>
    <col min="516" max="516" width="21.140625" style="238" customWidth="1"/>
    <col min="517" max="518" width="14.28515625" style="238" customWidth="1"/>
    <col min="519" max="768" width="9.140625" style="238"/>
    <col min="769" max="769" width="5.140625" style="238" customWidth="1"/>
    <col min="770" max="770" width="33.7109375" style="238" customWidth="1"/>
    <col min="771" max="771" width="14.140625" style="238" customWidth="1"/>
    <col min="772" max="772" width="21.140625" style="238" customWidth="1"/>
    <col min="773" max="774" width="14.28515625" style="238" customWidth="1"/>
    <col min="775" max="1024" width="9.140625" style="238"/>
    <col min="1025" max="1025" width="5.140625" style="238" customWidth="1"/>
    <col min="1026" max="1026" width="33.7109375" style="238" customWidth="1"/>
    <col min="1027" max="1027" width="14.140625" style="238" customWidth="1"/>
    <col min="1028" max="1028" width="21.140625" style="238" customWidth="1"/>
    <col min="1029" max="1030" width="14.28515625" style="238" customWidth="1"/>
    <col min="1031" max="1280" width="9.140625" style="238"/>
    <col min="1281" max="1281" width="5.140625" style="238" customWidth="1"/>
    <col min="1282" max="1282" width="33.7109375" style="238" customWidth="1"/>
    <col min="1283" max="1283" width="14.140625" style="238" customWidth="1"/>
    <col min="1284" max="1284" width="21.140625" style="238" customWidth="1"/>
    <col min="1285" max="1286" width="14.28515625" style="238" customWidth="1"/>
    <col min="1287" max="1536" width="9.140625" style="238"/>
    <col min="1537" max="1537" width="5.140625" style="238" customWidth="1"/>
    <col min="1538" max="1538" width="33.7109375" style="238" customWidth="1"/>
    <col min="1539" max="1539" width="14.140625" style="238" customWidth="1"/>
    <col min="1540" max="1540" width="21.140625" style="238" customWidth="1"/>
    <col min="1541" max="1542" width="14.28515625" style="238" customWidth="1"/>
    <col min="1543" max="1792" width="9.140625" style="238"/>
    <col min="1793" max="1793" width="5.140625" style="238" customWidth="1"/>
    <col min="1794" max="1794" width="33.7109375" style="238" customWidth="1"/>
    <col min="1795" max="1795" width="14.140625" style="238" customWidth="1"/>
    <col min="1796" max="1796" width="21.140625" style="238" customWidth="1"/>
    <col min="1797" max="1798" width="14.28515625" style="238" customWidth="1"/>
    <col min="1799" max="2048" width="9.140625" style="238"/>
    <col min="2049" max="2049" width="5.140625" style="238" customWidth="1"/>
    <col min="2050" max="2050" width="33.7109375" style="238" customWidth="1"/>
    <col min="2051" max="2051" width="14.140625" style="238" customWidth="1"/>
    <col min="2052" max="2052" width="21.140625" style="238" customWidth="1"/>
    <col min="2053" max="2054" width="14.28515625" style="238" customWidth="1"/>
    <col min="2055" max="2304" width="9.140625" style="238"/>
    <col min="2305" max="2305" width="5.140625" style="238" customWidth="1"/>
    <col min="2306" max="2306" width="33.7109375" style="238" customWidth="1"/>
    <col min="2307" max="2307" width="14.140625" style="238" customWidth="1"/>
    <col min="2308" max="2308" width="21.140625" style="238" customWidth="1"/>
    <col min="2309" max="2310" width="14.28515625" style="238" customWidth="1"/>
    <col min="2311" max="2560" width="9.140625" style="238"/>
    <col min="2561" max="2561" width="5.140625" style="238" customWidth="1"/>
    <col min="2562" max="2562" width="33.7109375" style="238" customWidth="1"/>
    <col min="2563" max="2563" width="14.140625" style="238" customWidth="1"/>
    <col min="2564" max="2564" width="21.140625" style="238" customWidth="1"/>
    <col min="2565" max="2566" width="14.28515625" style="238" customWidth="1"/>
    <col min="2567" max="2816" width="9.140625" style="238"/>
    <col min="2817" max="2817" width="5.140625" style="238" customWidth="1"/>
    <col min="2818" max="2818" width="33.7109375" style="238" customWidth="1"/>
    <col min="2819" max="2819" width="14.140625" style="238" customWidth="1"/>
    <col min="2820" max="2820" width="21.140625" style="238" customWidth="1"/>
    <col min="2821" max="2822" width="14.28515625" style="238" customWidth="1"/>
    <col min="2823" max="3072" width="9.140625" style="238"/>
    <col min="3073" max="3073" width="5.140625" style="238" customWidth="1"/>
    <col min="3074" max="3074" width="33.7109375" style="238" customWidth="1"/>
    <col min="3075" max="3075" width="14.140625" style="238" customWidth="1"/>
    <col min="3076" max="3076" width="21.140625" style="238" customWidth="1"/>
    <col min="3077" max="3078" width="14.28515625" style="238" customWidth="1"/>
    <col min="3079" max="3328" width="9.140625" style="238"/>
    <col min="3329" max="3329" width="5.140625" style="238" customWidth="1"/>
    <col min="3330" max="3330" width="33.7109375" style="238" customWidth="1"/>
    <col min="3331" max="3331" width="14.140625" style="238" customWidth="1"/>
    <col min="3332" max="3332" width="21.140625" style="238" customWidth="1"/>
    <col min="3333" max="3334" width="14.28515625" style="238" customWidth="1"/>
    <col min="3335" max="3584" width="9.140625" style="238"/>
    <col min="3585" max="3585" width="5.140625" style="238" customWidth="1"/>
    <col min="3586" max="3586" width="33.7109375" style="238" customWidth="1"/>
    <col min="3587" max="3587" width="14.140625" style="238" customWidth="1"/>
    <col min="3588" max="3588" width="21.140625" style="238" customWidth="1"/>
    <col min="3589" max="3590" width="14.28515625" style="238" customWidth="1"/>
    <col min="3591" max="3840" width="9.140625" style="238"/>
    <col min="3841" max="3841" width="5.140625" style="238" customWidth="1"/>
    <col min="3842" max="3842" width="33.7109375" style="238" customWidth="1"/>
    <col min="3843" max="3843" width="14.140625" style="238" customWidth="1"/>
    <col min="3844" max="3844" width="21.140625" style="238" customWidth="1"/>
    <col min="3845" max="3846" width="14.28515625" style="238" customWidth="1"/>
    <col min="3847" max="4096" width="9.140625" style="238"/>
    <col min="4097" max="4097" width="5.140625" style="238" customWidth="1"/>
    <col min="4098" max="4098" width="33.7109375" style="238" customWidth="1"/>
    <col min="4099" max="4099" width="14.140625" style="238" customWidth="1"/>
    <col min="4100" max="4100" width="21.140625" style="238" customWidth="1"/>
    <col min="4101" max="4102" width="14.28515625" style="238" customWidth="1"/>
    <col min="4103" max="4352" width="9.140625" style="238"/>
    <col min="4353" max="4353" width="5.140625" style="238" customWidth="1"/>
    <col min="4354" max="4354" width="33.7109375" style="238" customWidth="1"/>
    <col min="4355" max="4355" width="14.140625" style="238" customWidth="1"/>
    <col min="4356" max="4356" width="21.140625" style="238" customWidth="1"/>
    <col min="4357" max="4358" width="14.28515625" style="238" customWidth="1"/>
    <col min="4359" max="4608" width="9.140625" style="238"/>
    <col min="4609" max="4609" width="5.140625" style="238" customWidth="1"/>
    <col min="4610" max="4610" width="33.7109375" style="238" customWidth="1"/>
    <col min="4611" max="4611" width="14.140625" style="238" customWidth="1"/>
    <col min="4612" max="4612" width="21.140625" style="238" customWidth="1"/>
    <col min="4613" max="4614" width="14.28515625" style="238" customWidth="1"/>
    <col min="4615" max="4864" width="9.140625" style="238"/>
    <col min="4865" max="4865" width="5.140625" style="238" customWidth="1"/>
    <col min="4866" max="4866" width="33.7109375" style="238" customWidth="1"/>
    <col min="4867" max="4867" width="14.140625" style="238" customWidth="1"/>
    <col min="4868" max="4868" width="21.140625" style="238" customWidth="1"/>
    <col min="4869" max="4870" width="14.28515625" style="238" customWidth="1"/>
    <col min="4871" max="5120" width="9.140625" style="238"/>
    <col min="5121" max="5121" width="5.140625" style="238" customWidth="1"/>
    <col min="5122" max="5122" width="33.7109375" style="238" customWidth="1"/>
    <col min="5123" max="5123" width="14.140625" style="238" customWidth="1"/>
    <col min="5124" max="5124" width="21.140625" style="238" customWidth="1"/>
    <col min="5125" max="5126" width="14.28515625" style="238" customWidth="1"/>
    <col min="5127" max="5376" width="9.140625" style="238"/>
    <col min="5377" max="5377" width="5.140625" style="238" customWidth="1"/>
    <col min="5378" max="5378" width="33.7109375" style="238" customWidth="1"/>
    <col min="5379" max="5379" width="14.140625" style="238" customWidth="1"/>
    <col min="5380" max="5380" width="21.140625" style="238" customWidth="1"/>
    <col min="5381" max="5382" width="14.28515625" style="238" customWidth="1"/>
    <col min="5383" max="5632" width="9.140625" style="238"/>
    <col min="5633" max="5633" width="5.140625" style="238" customWidth="1"/>
    <col min="5634" max="5634" width="33.7109375" style="238" customWidth="1"/>
    <col min="5635" max="5635" width="14.140625" style="238" customWidth="1"/>
    <col min="5636" max="5636" width="21.140625" style="238" customWidth="1"/>
    <col min="5637" max="5638" width="14.28515625" style="238" customWidth="1"/>
    <col min="5639" max="5888" width="9.140625" style="238"/>
    <col min="5889" max="5889" width="5.140625" style="238" customWidth="1"/>
    <col min="5890" max="5890" width="33.7109375" style="238" customWidth="1"/>
    <col min="5891" max="5891" width="14.140625" style="238" customWidth="1"/>
    <col min="5892" max="5892" width="21.140625" style="238" customWidth="1"/>
    <col min="5893" max="5894" width="14.28515625" style="238" customWidth="1"/>
    <col min="5895" max="6144" width="9.140625" style="238"/>
    <col min="6145" max="6145" width="5.140625" style="238" customWidth="1"/>
    <col min="6146" max="6146" width="33.7109375" style="238" customWidth="1"/>
    <col min="6147" max="6147" width="14.140625" style="238" customWidth="1"/>
    <col min="6148" max="6148" width="21.140625" style="238" customWidth="1"/>
    <col min="6149" max="6150" width="14.28515625" style="238" customWidth="1"/>
    <col min="6151" max="6400" width="9.140625" style="238"/>
    <col min="6401" max="6401" width="5.140625" style="238" customWidth="1"/>
    <col min="6402" max="6402" width="33.7109375" style="238" customWidth="1"/>
    <col min="6403" max="6403" width="14.140625" style="238" customWidth="1"/>
    <col min="6404" max="6404" width="21.140625" style="238" customWidth="1"/>
    <col min="6405" max="6406" width="14.28515625" style="238" customWidth="1"/>
    <col min="6407" max="6656" width="9.140625" style="238"/>
    <col min="6657" max="6657" width="5.140625" style="238" customWidth="1"/>
    <col min="6658" max="6658" width="33.7109375" style="238" customWidth="1"/>
    <col min="6659" max="6659" width="14.140625" style="238" customWidth="1"/>
    <col min="6660" max="6660" width="21.140625" style="238" customWidth="1"/>
    <col min="6661" max="6662" width="14.28515625" style="238" customWidth="1"/>
    <col min="6663" max="6912" width="9.140625" style="238"/>
    <col min="6913" max="6913" width="5.140625" style="238" customWidth="1"/>
    <col min="6914" max="6914" width="33.7109375" style="238" customWidth="1"/>
    <col min="6915" max="6915" width="14.140625" style="238" customWidth="1"/>
    <col min="6916" max="6916" width="21.140625" style="238" customWidth="1"/>
    <col min="6917" max="6918" width="14.28515625" style="238" customWidth="1"/>
    <col min="6919" max="7168" width="9.140625" style="238"/>
    <col min="7169" max="7169" width="5.140625" style="238" customWidth="1"/>
    <col min="7170" max="7170" width="33.7109375" style="238" customWidth="1"/>
    <col min="7171" max="7171" width="14.140625" style="238" customWidth="1"/>
    <col min="7172" max="7172" width="21.140625" style="238" customWidth="1"/>
    <col min="7173" max="7174" width="14.28515625" style="238" customWidth="1"/>
    <col min="7175" max="7424" width="9.140625" style="238"/>
    <col min="7425" max="7425" width="5.140625" style="238" customWidth="1"/>
    <col min="7426" max="7426" width="33.7109375" style="238" customWidth="1"/>
    <col min="7427" max="7427" width="14.140625" style="238" customWidth="1"/>
    <col min="7428" max="7428" width="21.140625" style="238" customWidth="1"/>
    <col min="7429" max="7430" width="14.28515625" style="238" customWidth="1"/>
    <col min="7431" max="7680" width="9.140625" style="238"/>
    <col min="7681" max="7681" width="5.140625" style="238" customWidth="1"/>
    <col min="7682" max="7682" width="33.7109375" style="238" customWidth="1"/>
    <col min="7683" max="7683" width="14.140625" style="238" customWidth="1"/>
    <col min="7684" max="7684" width="21.140625" style="238" customWidth="1"/>
    <col min="7685" max="7686" width="14.28515625" style="238" customWidth="1"/>
    <col min="7687" max="7936" width="9.140625" style="238"/>
    <col min="7937" max="7937" width="5.140625" style="238" customWidth="1"/>
    <col min="7938" max="7938" width="33.7109375" style="238" customWidth="1"/>
    <col min="7939" max="7939" width="14.140625" style="238" customWidth="1"/>
    <col min="7940" max="7940" width="21.140625" style="238" customWidth="1"/>
    <col min="7941" max="7942" width="14.28515625" style="238" customWidth="1"/>
    <col min="7943" max="8192" width="9.140625" style="238"/>
    <col min="8193" max="8193" width="5.140625" style="238" customWidth="1"/>
    <col min="8194" max="8194" width="33.7109375" style="238" customWidth="1"/>
    <col min="8195" max="8195" width="14.140625" style="238" customWidth="1"/>
    <col min="8196" max="8196" width="21.140625" style="238" customWidth="1"/>
    <col min="8197" max="8198" width="14.28515625" style="238" customWidth="1"/>
    <col min="8199" max="8448" width="9.140625" style="238"/>
    <col min="8449" max="8449" width="5.140625" style="238" customWidth="1"/>
    <col min="8450" max="8450" width="33.7109375" style="238" customWidth="1"/>
    <col min="8451" max="8451" width="14.140625" style="238" customWidth="1"/>
    <col min="8452" max="8452" width="21.140625" style="238" customWidth="1"/>
    <col min="8453" max="8454" width="14.28515625" style="238" customWidth="1"/>
    <col min="8455" max="8704" width="9.140625" style="238"/>
    <col min="8705" max="8705" width="5.140625" style="238" customWidth="1"/>
    <col min="8706" max="8706" width="33.7109375" style="238" customWidth="1"/>
    <col min="8707" max="8707" width="14.140625" style="238" customWidth="1"/>
    <col min="8708" max="8708" width="21.140625" style="238" customWidth="1"/>
    <col min="8709" max="8710" width="14.28515625" style="238" customWidth="1"/>
    <col min="8711" max="8960" width="9.140625" style="238"/>
    <col min="8961" max="8961" width="5.140625" style="238" customWidth="1"/>
    <col min="8962" max="8962" width="33.7109375" style="238" customWidth="1"/>
    <col min="8963" max="8963" width="14.140625" style="238" customWidth="1"/>
    <col min="8964" max="8964" width="21.140625" style="238" customWidth="1"/>
    <col min="8965" max="8966" width="14.28515625" style="238" customWidth="1"/>
    <col min="8967" max="9216" width="9.140625" style="238"/>
    <col min="9217" max="9217" width="5.140625" style="238" customWidth="1"/>
    <col min="9218" max="9218" width="33.7109375" style="238" customWidth="1"/>
    <col min="9219" max="9219" width="14.140625" style="238" customWidth="1"/>
    <col min="9220" max="9220" width="21.140625" style="238" customWidth="1"/>
    <col min="9221" max="9222" width="14.28515625" style="238" customWidth="1"/>
    <col min="9223" max="9472" width="9.140625" style="238"/>
    <col min="9473" max="9473" width="5.140625" style="238" customWidth="1"/>
    <col min="9474" max="9474" width="33.7109375" style="238" customWidth="1"/>
    <col min="9475" max="9475" width="14.140625" style="238" customWidth="1"/>
    <col min="9476" max="9476" width="21.140625" style="238" customWidth="1"/>
    <col min="9477" max="9478" width="14.28515625" style="238" customWidth="1"/>
    <col min="9479" max="9728" width="9.140625" style="238"/>
    <col min="9729" max="9729" width="5.140625" style="238" customWidth="1"/>
    <col min="9730" max="9730" width="33.7109375" style="238" customWidth="1"/>
    <col min="9731" max="9731" width="14.140625" style="238" customWidth="1"/>
    <col min="9732" max="9732" width="21.140625" style="238" customWidth="1"/>
    <col min="9733" max="9734" width="14.28515625" style="238" customWidth="1"/>
    <col min="9735" max="9984" width="9.140625" style="238"/>
    <col min="9985" max="9985" width="5.140625" style="238" customWidth="1"/>
    <col min="9986" max="9986" width="33.7109375" style="238" customWidth="1"/>
    <col min="9987" max="9987" width="14.140625" style="238" customWidth="1"/>
    <col min="9988" max="9988" width="21.140625" style="238" customWidth="1"/>
    <col min="9989" max="9990" width="14.28515625" style="238" customWidth="1"/>
    <col min="9991" max="10240" width="9.140625" style="238"/>
    <col min="10241" max="10241" width="5.140625" style="238" customWidth="1"/>
    <col min="10242" max="10242" width="33.7109375" style="238" customWidth="1"/>
    <col min="10243" max="10243" width="14.140625" style="238" customWidth="1"/>
    <col min="10244" max="10244" width="21.140625" style="238" customWidth="1"/>
    <col min="10245" max="10246" width="14.28515625" style="238" customWidth="1"/>
    <col min="10247" max="10496" width="9.140625" style="238"/>
    <col min="10497" max="10497" width="5.140625" style="238" customWidth="1"/>
    <col min="10498" max="10498" width="33.7109375" style="238" customWidth="1"/>
    <col min="10499" max="10499" width="14.140625" style="238" customWidth="1"/>
    <col min="10500" max="10500" width="21.140625" style="238" customWidth="1"/>
    <col min="10501" max="10502" width="14.28515625" style="238" customWidth="1"/>
    <col min="10503" max="10752" width="9.140625" style="238"/>
    <col min="10753" max="10753" width="5.140625" style="238" customWidth="1"/>
    <col min="10754" max="10754" width="33.7109375" style="238" customWidth="1"/>
    <col min="10755" max="10755" width="14.140625" style="238" customWidth="1"/>
    <col min="10756" max="10756" width="21.140625" style="238" customWidth="1"/>
    <col min="10757" max="10758" width="14.28515625" style="238" customWidth="1"/>
    <col min="10759" max="11008" width="9.140625" style="238"/>
    <col min="11009" max="11009" width="5.140625" style="238" customWidth="1"/>
    <col min="11010" max="11010" width="33.7109375" style="238" customWidth="1"/>
    <col min="11011" max="11011" width="14.140625" style="238" customWidth="1"/>
    <col min="11012" max="11012" width="21.140625" style="238" customWidth="1"/>
    <col min="11013" max="11014" width="14.28515625" style="238" customWidth="1"/>
    <col min="11015" max="11264" width="9.140625" style="238"/>
    <col min="11265" max="11265" width="5.140625" style="238" customWidth="1"/>
    <col min="11266" max="11266" width="33.7109375" style="238" customWidth="1"/>
    <col min="11267" max="11267" width="14.140625" style="238" customWidth="1"/>
    <col min="11268" max="11268" width="21.140625" style="238" customWidth="1"/>
    <col min="11269" max="11270" width="14.28515625" style="238" customWidth="1"/>
    <col min="11271" max="11520" width="9.140625" style="238"/>
    <col min="11521" max="11521" width="5.140625" style="238" customWidth="1"/>
    <col min="11522" max="11522" width="33.7109375" style="238" customWidth="1"/>
    <col min="11523" max="11523" width="14.140625" style="238" customWidth="1"/>
    <col min="11524" max="11524" width="21.140625" style="238" customWidth="1"/>
    <col min="11525" max="11526" width="14.28515625" style="238" customWidth="1"/>
    <col min="11527" max="11776" width="9.140625" style="238"/>
    <col min="11777" max="11777" width="5.140625" style="238" customWidth="1"/>
    <col min="11778" max="11778" width="33.7109375" style="238" customWidth="1"/>
    <col min="11779" max="11779" width="14.140625" style="238" customWidth="1"/>
    <col min="11780" max="11780" width="21.140625" style="238" customWidth="1"/>
    <col min="11781" max="11782" width="14.28515625" style="238" customWidth="1"/>
    <col min="11783" max="12032" width="9.140625" style="238"/>
    <col min="12033" max="12033" width="5.140625" style="238" customWidth="1"/>
    <col min="12034" max="12034" width="33.7109375" style="238" customWidth="1"/>
    <col min="12035" max="12035" width="14.140625" style="238" customWidth="1"/>
    <col min="12036" max="12036" width="21.140625" style="238" customWidth="1"/>
    <col min="12037" max="12038" width="14.28515625" style="238" customWidth="1"/>
    <col min="12039" max="12288" width="9.140625" style="238"/>
    <col min="12289" max="12289" width="5.140625" style="238" customWidth="1"/>
    <col min="12290" max="12290" width="33.7109375" style="238" customWidth="1"/>
    <col min="12291" max="12291" width="14.140625" style="238" customWidth="1"/>
    <col min="12292" max="12292" width="21.140625" style="238" customWidth="1"/>
    <col min="12293" max="12294" width="14.28515625" style="238" customWidth="1"/>
    <col min="12295" max="12544" width="9.140625" style="238"/>
    <col min="12545" max="12545" width="5.140625" style="238" customWidth="1"/>
    <col min="12546" max="12546" width="33.7109375" style="238" customWidth="1"/>
    <col min="12547" max="12547" width="14.140625" style="238" customWidth="1"/>
    <col min="12548" max="12548" width="21.140625" style="238" customWidth="1"/>
    <col min="12549" max="12550" width="14.28515625" style="238" customWidth="1"/>
    <col min="12551" max="12800" width="9.140625" style="238"/>
    <col min="12801" max="12801" width="5.140625" style="238" customWidth="1"/>
    <col min="12802" max="12802" width="33.7109375" style="238" customWidth="1"/>
    <col min="12803" max="12803" width="14.140625" style="238" customWidth="1"/>
    <col min="12804" max="12804" width="21.140625" style="238" customWidth="1"/>
    <col min="12805" max="12806" width="14.28515625" style="238" customWidth="1"/>
    <col min="12807" max="13056" width="9.140625" style="238"/>
    <col min="13057" max="13057" width="5.140625" style="238" customWidth="1"/>
    <col min="13058" max="13058" width="33.7109375" style="238" customWidth="1"/>
    <col min="13059" max="13059" width="14.140625" style="238" customWidth="1"/>
    <col min="13060" max="13060" width="21.140625" style="238" customWidth="1"/>
    <col min="13061" max="13062" width="14.28515625" style="238" customWidth="1"/>
    <col min="13063" max="13312" width="9.140625" style="238"/>
    <col min="13313" max="13313" width="5.140625" style="238" customWidth="1"/>
    <col min="13314" max="13314" width="33.7109375" style="238" customWidth="1"/>
    <col min="13315" max="13315" width="14.140625" style="238" customWidth="1"/>
    <col min="13316" max="13316" width="21.140625" style="238" customWidth="1"/>
    <col min="13317" max="13318" width="14.28515625" style="238" customWidth="1"/>
    <col min="13319" max="13568" width="9.140625" style="238"/>
    <col min="13569" max="13569" width="5.140625" style="238" customWidth="1"/>
    <col min="13570" max="13570" width="33.7109375" style="238" customWidth="1"/>
    <col min="13571" max="13571" width="14.140625" style="238" customWidth="1"/>
    <col min="13572" max="13572" width="21.140625" style="238" customWidth="1"/>
    <col min="13573" max="13574" width="14.28515625" style="238" customWidth="1"/>
    <col min="13575" max="13824" width="9.140625" style="238"/>
    <col min="13825" max="13825" width="5.140625" style="238" customWidth="1"/>
    <col min="13826" max="13826" width="33.7109375" style="238" customWidth="1"/>
    <col min="13827" max="13827" width="14.140625" style="238" customWidth="1"/>
    <col min="13828" max="13828" width="21.140625" style="238" customWidth="1"/>
    <col min="13829" max="13830" width="14.28515625" style="238" customWidth="1"/>
    <col min="13831" max="14080" width="9.140625" style="238"/>
    <col min="14081" max="14081" width="5.140625" style="238" customWidth="1"/>
    <col min="14082" max="14082" width="33.7109375" style="238" customWidth="1"/>
    <col min="14083" max="14083" width="14.140625" style="238" customWidth="1"/>
    <col min="14084" max="14084" width="21.140625" style="238" customWidth="1"/>
    <col min="14085" max="14086" width="14.28515625" style="238" customWidth="1"/>
    <col min="14087" max="14336" width="9.140625" style="238"/>
    <col min="14337" max="14337" width="5.140625" style="238" customWidth="1"/>
    <col min="14338" max="14338" width="33.7109375" style="238" customWidth="1"/>
    <col min="14339" max="14339" width="14.140625" style="238" customWidth="1"/>
    <col min="14340" max="14340" width="21.140625" style="238" customWidth="1"/>
    <col min="14341" max="14342" width="14.28515625" style="238" customWidth="1"/>
    <col min="14343" max="14592" width="9.140625" style="238"/>
    <col min="14593" max="14593" width="5.140625" style="238" customWidth="1"/>
    <col min="14594" max="14594" width="33.7109375" style="238" customWidth="1"/>
    <col min="14595" max="14595" width="14.140625" style="238" customWidth="1"/>
    <col min="14596" max="14596" width="21.140625" style="238" customWidth="1"/>
    <col min="14597" max="14598" width="14.28515625" style="238" customWidth="1"/>
    <col min="14599" max="14848" width="9.140625" style="238"/>
    <col min="14849" max="14849" width="5.140625" style="238" customWidth="1"/>
    <col min="14850" max="14850" width="33.7109375" style="238" customWidth="1"/>
    <col min="14851" max="14851" width="14.140625" style="238" customWidth="1"/>
    <col min="14852" max="14852" width="21.140625" style="238" customWidth="1"/>
    <col min="14853" max="14854" width="14.28515625" style="238" customWidth="1"/>
    <col min="14855" max="15104" width="9.140625" style="238"/>
    <col min="15105" max="15105" width="5.140625" style="238" customWidth="1"/>
    <col min="15106" max="15106" width="33.7109375" style="238" customWidth="1"/>
    <col min="15107" max="15107" width="14.140625" style="238" customWidth="1"/>
    <col min="15108" max="15108" width="21.140625" style="238" customWidth="1"/>
    <col min="15109" max="15110" width="14.28515625" style="238" customWidth="1"/>
    <col min="15111" max="15360" width="9.140625" style="238"/>
    <col min="15361" max="15361" width="5.140625" style="238" customWidth="1"/>
    <col min="15362" max="15362" width="33.7109375" style="238" customWidth="1"/>
    <col min="15363" max="15363" width="14.140625" style="238" customWidth="1"/>
    <col min="15364" max="15364" width="21.140625" style="238" customWidth="1"/>
    <col min="15365" max="15366" width="14.28515625" style="238" customWidth="1"/>
    <col min="15367" max="15616" width="9.140625" style="238"/>
    <col min="15617" max="15617" width="5.140625" style="238" customWidth="1"/>
    <col min="15618" max="15618" width="33.7109375" style="238" customWidth="1"/>
    <col min="15619" max="15619" width="14.140625" style="238" customWidth="1"/>
    <col min="15620" max="15620" width="21.140625" style="238" customWidth="1"/>
    <col min="15621" max="15622" width="14.28515625" style="238" customWidth="1"/>
    <col min="15623" max="15872" width="9.140625" style="238"/>
    <col min="15873" max="15873" width="5.140625" style="238" customWidth="1"/>
    <col min="15874" max="15874" width="33.7109375" style="238" customWidth="1"/>
    <col min="15875" max="15875" width="14.140625" style="238" customWidth="1"/>
    <col min="15876" max="15876" width="21.140625" style="238" customWidth="1"/>
    <col min="15877" max="15878" width="14.28515625" style="238" customWidth="1"/>
    <col min="15879" max="16128" width="9.140625" style="238"/>
    <col min="16129" max="16129" width="5.140625" style="238" customWidth="1"/>
    <col min="16130" max="16130" width="33.7109375" style="238" customWidth="1"/>
    <col min="16131" max="16131" width="14.140625" style="238" customWidth="1"/>
    <col min="16132" max="16132" width="21.140625" style="238" customWidth="1"/>
    <col min="16133" max="16134" width="14.28515625" style="238" customWidth="1"/>
    <col min="16135" max="16384" width="9.140625" style="238"/>
  </cols>
  <sheetData>
    <row r="1" spans="1:6" x14ac:dyDescent="0.2">
      <c r="A1" s="249"/>
      <c r="B1" s="484" t="s">
        <v>613</v>
      </c>
      <c r="C1" s="484"/>
      <c r="D1" s="484"/>
      <c r="E1" s="240"/>
      <c r="F1" s="240"/>
    </row>
    <row r="2" spans="1:6" x14ac:dyDescent="0.2">
      <c r="A2" s="249"/>
      <c r="B2" s="499" t="s">
        <v>614</v>
      </c>
      <c r="C2" s="499"/>
      <c r="D2" s="499"/>
      <c r="E2" s="255"/>
      <c r="F2" s="255"/>
    </row>
    <row r="3" spans="1:6" x14ac:dyDescent="0.2">
      <c r="A3" s="249"/>
      <c r="B3" s="500" t="s">
        <v>576</v>
      </c>
      <c r="C3" s="500"/>
      <c r="D3" s="500"/>
      <c r="E3" s="255"/>
      <c r="F3" s="255"/>
    </row>
    <row r="4" spans="1:6" x14ac:dyDescent="0.2">
      <c r="A4" s="249"/>
      <c r="B4" s="500" t="s">
        <v>577</v>
      </c>
      <c r="C4" s="500"/>
      <c r="D4" s="500"/>
      <c r="E4" s="255"/>
      <c r="F4" s="255"/>
    </row>
    <row r="5" spans="1:6" x14ac:dyDescent="0.2">
      <c r="A5" s="249"/>
      <c r="B5" s="436" t="s">
        <v>596</v>
      </c>
      <c r="C5" s="436"/>
      <c r="D5" s="436"/>
      <c r="E5" s="227"/>
      <c r="F5" s="255"/>
    </row>
    <row r="6" spans="1:6" ht="12.75" customHeight="1" x14ac:dyDescent="0.2">
      <c r="A6" s="249"/>
      <c r="B6" s="436" t="s">
        <v>578</v>
      </c>
      <c r="C6" s="436"/>
      <c r="D6" s="436"/>
      <c r="E6" s="246"/>
      <c r="F6" s="246"/>
    </row>
    <row r="7" spans="1:6" ht="12.75" customHeight="1" x14ac:dyDescent="0.2">
      <c r="A7" s="246" t="s">
        <v>615</v>
      </c>
      <c r="B7" s="477" t="s">
        <v>577</v>
      </c>
      <c r="C7" s="477"/>
      <c r="D7" s="477"/>
      <c r="E7" s="256"/>
      <c r="F7" s="246"/>
    </row>
    <row r="8" spans="1:6" ht="12.75" customHeight="1" x14ac:dyDescent="0.2">
      <c r="A8" s="246"/>
      <c r="B8" s="436" t="s">
        <v>592</v>
      </c>
      <c r="C8" s="436"/>
      <c r="D8" s="436"/>
      <c r="E8" s="246"/>
      <c r="F8" s="246"/>
    </row>
    <row r="9" spans="1:6" x14ac:dyDescent="0.2">
      <c r="C9" s="239"/>
    </row>
    <row r="10" spans="1:6" ht="15.75" x14ac:dyDescent="0.25">
      <c r="A10" s="495" t="s">
        <v>616</v>
      </c>
      <c r="B10" s="495"/>
      <c r="C10" s="495"/>
      <c r="D10" s="495"/>
      <c r="E10" s="257"/>
      <c r="F10" s="257"/>
    </row>
    <row r="11" spans="1:6" s="259" customFormat="1" ht="40.5" customHeight="1" x14ac:dyDescent="0.25">
      <c r="A11" s="496" t="s">
        <v>624</v>
      </c>
      <c r="B11" s="496"/>
      <c r="C11" s="496"/>
      <c r="D11" s="496"/>
      <c r="E11" s="258"/>
      <c r="F11" s="258"/>
    </row>
    <row r="12" spans="1:6" x14ac:dyDescent="0.2">
      <c r="C12" s="248"/>
      <c r="D12" s="248" t="s">
        <v>579</v>
      </c>
      <c r="E12" s="248"/>
      <c r="F12" s="248"/>
    </row>
    <row r="13" spans="1:6" s="242" customFormat="1" ht="31.5" x14ac:dyDescent="0.2">
      <c r="A13" s="260" t="s">
        <v>512</v>
      </c>
      <c r="B13" s="497" t="s">
        <v>580</v>
      </c>
      <c r="C13" s="498"/>
      <c r="D13" s="260" t="s">
        <v>621</v>
      </c>
    </row>
    <row r="14" spans="1:6" ht="15.75" x14ac:dyDescent="0.25">
      <c r="A14" s="261" t="s">
        <v>617</v>
      </c>
      <c r="B14" s="493" t="s">
        <v>584</v>
      </c>
      <c r="C14" s="494"/>
      <c r="D14" s="262">
        <v>212.1</v>
      </c>
    </row>
    <row r="15" spans="1:6" ht="15.75" x14ac:dyDescent="0.25">
      <c r="A15" s="261" t="s">
        <v>618</v>
      </c>
      <c r="B15" s="493" t="s">
        <v>582</v>
      </c>
      <c r="C15" s="494"/>
      <c r="D15" s="262">
        <v>191.8</v>
      </c>
    </row>
    <row r="16" spans="1:6" ht="15.75" x14ac:dyDescent="0.25">
      <c r="A16" s="263" t="s">
        <v>619</v>
      </c>
      <c r="B16" s="493" t="s">
        <v>583</v>
      </c>
      <c r="C16" s="494"/>
      <c r="D16" s="262">
        <v>81.900000000000006</v>
      </c>
    </row>
    <row r="17" spans="1:4" ht="15.75" x14ac:dyDescent="0.25">
      <c r="A17" s="263" t="s">
        <v>620</v>
      </c>
      <c r="B17" s="493" t="s">
        <v>586</v>
      </c>
      <c r="C17" s="494"/>
      <c r="D17" s="262">
        <v>214.2</v>
      </c>
    </row>
    <row r="18" spans="1:4" ht="15.75" x14ac:dyDescent="0.25">
      <c r="A18" s="264"/>
      <c r="B18" s="491" t="s">
        <v>602</v>
      </c>
      <c r="C18" s="492"/>
      <c r="D18" s="265">
        <f>SUM(D14:D17)</f>
        <v>700</v>
      </c>
    </row>
    <row r="19" spans="1:4" x14ac:dyDescent="0.2">
      <c r="D19" s="266"/>
    </row>
  </sheetData>
  <mergeCells count="16">
    <mergeCell ref="B6:D6"/>
    <mergeCell ref="B1:D1"/>
    <mergeCell ref="B2:D2"/>
    <mergeCell ref="B3:D3"/>
    <mergeCell ref="B4:D4"/>
    <mergeCell ref="B5:D5"/>
    <mergeCell ref="B18:C18"/>
    <mergeCell ref="B15:C15"/>
    <mergeCell ref="B16:C16"/>
    <mergeCell ref="B17:C17"/>
    <mergeCell ref="B7:D7"/>
    <mergeCell ref="B8:D8"/>
    <mergeCell ref="A10:D10"/>
    <mergeCell ref="A11:D11"/>
    <mergeCell ref="B13:C13"/>
    <mergeCell ref="B14:C1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workbookViewId="0">
      <selection activeCell="G19" sqref="G19"/>
    </sheetView>
  </sheetViews>
  <sheetFormatPr defaultRowHeight="12.75" x14ac:dyDescent="0.2"/>
  <cols>
    <col min="1" max="1" width="5.140625" style="238" customWidth="1"/>
    <col min="2" max="2" width="33.7109375" style="238" customWidth="1"/>
    <col min="3" max="3" width="14.140625" style="238" customWidth="1"/>
    <col min="4" max="5" width="14.28515625" style="238" customWidth="1"/>
    <col min="6" max="251" width="9.140625" style="238"/>
    <col min="252" max="252" width="5.140625" style="238" customWidth="1"/>
    <col min="253" max="253" width="33.7109375" style="238" customWidth="1"/>
    <col min="254" max="254" width="14.140625" style="238" customWidth="1"/>
    <col min="255" max="257" width="14.28515625" style="238" customWidth="1"/>
    <col min="258" max="507" width="9.140625" style="238"/>
    <col min="508" max="508" width="5.140625" style="238" customWidth="1"/>
    <col min="509" max="509" width="33.7109375" style="238" customWidth="1"/>
    <col min="510" max="510" width="14.140625" style="238" customWidth="1"/>
    <col min="511" max="513" width="14.28515625" style="238" customWidth="1"/>
    <col min="514" max="763" width="9.140625" style="238"/>
    <col min="764" max="764" width="5.140625" style="238" customWidth="1"/>
    <col min="765" max="765" width="33.7109375" style="238" customWidth="1"/>
    <col min="766" max="766" width="14.140625" style="238" customWidth="1"/>
    <col min="767" max="769" width="14.28515625" style="238" customWidth="1"/>
    <col min="770" max="1019" width="9.140625" style="238"/>
    <col min="1020" max="1020" width="5.140625" style="238" customWidth="1"/>
    <col min="1021" max="1021" width="33.7109375" style="238" customWidth="1"/>
    <col min="1022" max="1022" width="14.140625" style="238" customWidth="1"/>
    <col min="1023" max="1025" width="14.28515625" style="238" customWidth="1"/>
    <col min="1026" max="1275" width="9.140625" style="238"/>
    <col min="1276" max="1276" width="5.140625" style="238" customWidth="1"/>
    <col min="1277" max="1277" width="33.7109375" style="238" customWidth="1"/>
    <col min="1278" max="1278" width="14.140625" style="238" customWidth="1"/>
    <col min="1279" max="1281" width="14.28515625" style="238" customWidth="1"/>
    <col min="1282" max="1531" width="9.140625" style="238"/>
    <col min="1532" max="1532" width="5.140625" style="238" customWidth="1"/>
    <col min="1533" max="1533" width="33.7109375" style="238" customWidth="1"/>
    <col min="1534" max="1534" width="14.140625" style="238" customWidth="1"/>
    <col min="1535" max="1537" width="14.28515625" style="238" customWidth="1"/>
    <col min="1538" max="1787" width="9.140625" style="238"/>
    <col min="1788" max="1788" width="5.140625" style="238" customWidth="1"/>
    <col min="1789" max="1789" width="33.7109375" style="238" customWidth="1"/>
    <col min="1790" max="1790" width="14.140625" style="238" customWidth="1"/>
    <col min="1791" max="1793" width="14.28515625" style="238" customWidth="1"/>
    <col min="1794" max="2043" width="9.140625" style="238"/>
    <col min="2044" max="2044" width="5.140625" style="238" customWidth="1"/>
    <col min="2045" max="2045" width="33.7109375" style="238" customWidth="1"/>
    <col min="2046" max="2046" width="14.140625" style="238" customWidth="1"/>
    <col min="2047" max="2049" width="14.28515625" style="238" customWidth="1"/>
    <col min="2050" max="2299" width="9.140625" style="238"/>
    <col min="2300" max="2300" width="5.140625" style="238" customWidth="1"/>
    <col min="2301" max="2301" width="33.7109375" style="238" customWidth="1"/>
    <col min="2302" max="2302" width="14.140625" style="238" customWidth="1"/>
    <col min="2303" max="2305" width="14.28515625" style="238" customWidth="1"/>
    <col min="2306" max="2555" width="9.140625" style="238"/>
    <col min="2556" max="2556" width="5.140625" style="238" customWidth="1"/>
    <col min="2557" max="2557" width="33.7109375" style="238" customWidth="1"/>
    <col min="2558" max="2558" width="14.140625" style="238" customWidth="1"/>
    <col min="2559" max="2561" width="14.28515625" style="238" customWidth="1"/>
    <col min="2562" max="2811" width="9.140625" style="238"/>
    <col min="2812" max="2812" width="5.140625" style="238" customWidth="1"/>
    <col min="2813" max="2813" width="33.7109375" style="238" customWidth="1"/>
    <col min="2814" max="2814" width="14.140625" style="238" customWidth="1"/>
    <col min="2815" max="2817" width="14.28515625" style="238" customWidth="1"/>
    <col min="2818" max="3067" width="9.140625" style="238"/>
    <col min="3068" max="3068" width="5.140625" style="238" customWidth="1"/>
    <col min="3069" max="3069" width="33.7109375" style="238" customWidth="1"/>
    <col min="3070" max="3070" width="14.140625" style="238" customWidth="1"/>
    <col min="3071" max="3073" width="14.28515625" style="238" customWidth="1"/>
    <col min="3074" max="3323" width="9.140625" style="238"/>
    <col min="3324" max="3324" width="5.140625" style="238" customWidth="1"/>
    <col min="3325" max="3325" width="33.7109375" style="238" customWidth="1"/>
    <col min="3326" max="3326" width="14.140625" style="238" customWidth="1"/>
    <col min="3327" max="3329" width="14.28515625" style="238" customWidth="1"/>
    <col min="3330" max="3579" width="9.140625" style="238"/>
    <col min="3580" max="3580" width="5.140625" style="238" customWidth="1"/>
    <col min="3581" max="3581" width="33.7109375" style="238" customWidth="1"/>
    <col min="3582" max="3582" width="14.140625" style="238" customWidth="1"/>
    <col min="3583" max="3585" width="14.28515625" style="238" customWidth="1"/>
    <col min="3586" max="3835" width="9.140625" style="238"/>
    <col min="3836" max="3836" width="5.140625" style="238" customWidth="1"/>
    <col min="3837" max="3837" width="33.7109375" style="238" customWidth="1"/>
    <col min="3838" max="3838" width="14.140625" style="238" customWidth="1"/>
    <col min="3839" max="3841" width="14.28515625" style="238" customWidth="1"/>
    <col min="3842" max="4091" width="9.140625" style="238"/>
    <col min="4092" max="4092" width="5.140625" style="238" customWidth="1"/>
    <col min="4093" max="4093" width="33.7109375" style="238" customWidth="1"/>
    <col min="4094" max="4094" width="14.140625" style="238" customWidth="1"/>
    <col min="4095" max="4097" width="14.28515625" style="238" customWidth="1"/>
    <col min="4098" max="4347" width="9.140625" style="238"/>
    <col min="4348" max="4348" width="5.140625" style="238" customWidth="1"/>
    <col min="4349" max="4349" width="33.7109375" style="238" customWidth="1"/>
    <col min="4350" max="4350" width="14.140625" style="238" customWidth="1"/>
    <col min="4351" max="4353" width="14.28515625" style="238" customWidth="1"/>
    <col min="4354" max="4603" width="9.140625" style="238"/>
    <col min="4604" max="4604" width="5.140625" style="238" customWidth="1"/>
    <col min="4605" max="4605" width="33.7109375" style="238" customWidth="1"/>
    <col min="4606" max="4606" width="14.140625" style="238" customWidth="1"/>
    <col min="4607" max="4609" width="14.28515625" style="238" customWidth="1"/>
    <col min="4610" max="4859" width="9.140625" style="238"/>
    <col min="4860" max="4860" width="5.140625" style="238" customWidth="1"/>
    <col min="4861" max="4861" width="33.7109375" style="238" customWidth="1"/>
    <col min="4862" max="4862" width="14.140625" style="238" customWidth="1"/>
    <col min="4863" max="4865" width="14.28515625" style="238" customWidth="1"/>
    <col min="4866" max="5115" width="9.140625" style="238"/>
    <col min="5116" max="5116" width="5.140625" style="238" customWidth="1"/>
    <col min="5117" max="5117" width="33.7109375" style="238" customWidth="1"/>
    <col min="5118" max="5118" width="14.140625" style="238" customWidth="1"/>
    <col min="5119" max="5121" width="14.28515625" style="238" customWidth="1"/>
    <col min="5122" max="5371" width="9.140625" style="238"/>
    <col min="5372" max="5372" width="5.140625" style="238" customWidth="1"/>
    <col min="5373" max="5373" width="33.7109375" style="238" customWidth="1"/>
    <col min="5374" max="5374" width="14.140625" style="238" customWidth="1"/>
    <col min="5375" max="5377" width="14.28515625" style="238" customWidth="1"/>
    <col min="5378" max="5627" width="9.140625" style="238"/>
    <col min="5628" max="5628" width="5.140625" style="238" customWidth="1"/>
    <col min="5629" max="5629" width="33.7109375" style="238" customWidth="1"/>
    <col min="5630" max="5630" width="14.140625" style="238" customWidth="1"/>
    <col min="5631" max="5633" width="14.28515625" style="238" customWidth="1"/>
    <col min="5634" max="5883" width="9.140625" style="238"/>
    <col min="5884" max="5884" width="5.140625" style="238" customWidth="1"/>
    <col min="5885" max="5885" width="33.7109375" style="238" customWidth="1"/>
    <col min="5886" max="5886" width="14.140625" style="238" customWidth="1"/>
    <col min="5887" max="5889" width="14.28515625" style="238" customWidth="1"/>
    <col min="5890" max="6139" width="9.140625" style="238"/>
    <col min="6140" max="6140" width="5.140625" style="238" customWidth="1"/>
    <col min="6141" max="6141" width="33.7109375" style="238" customWidth="1"/>
    <col min="6142" max="6142" width="14.140625" style="238" customWidth="1"/>
    <col min="6143" max="6145" width="14.28515625" style="238" customWidth="1"/>
    <col min="6146" max="6395" width="9.140625" style="238"/>
    <col min="6396" max="6396" width="5.140625" style="238" customWidth="1"/>
    <col min="6397" max="6397" width="33.7109375" style="238" customWidth="1"/>
    <col min="6398" max="6398" width="14.140625" style="238" customWidth="1"/>
    <col min="6399" max="6401" width="14.28515625" style="238" customWidth="1"/>
    <col min="6402" max="6651" width="9.140625" style="238"/>
    <col min="6652" max="6652" width="5.140625" style="238" customWidth="1"/>
    <col min="6653" max="6653" width="33.7109375" style="238" customWidth="1"/>
    <col min="6654" max="6654" width="14.140625" style="238" customWidth="1"/>
    <col min="6655" max="6657" width="14.28515625" style="238" customWidth="1"/>
    <col min="6658" max="6907" width="9.140625" style="238"/>
    <col min="6908" max="6908" width="5.140625" style="238" customWidth="1"/>
    <col min="6909" max="6909" width="33.7109375" style="238" customWidth="1"/>
    <col min="6910" max="6910" width="14.140625" style="238" customWidth="1"/>
    <col min="6911" max="6913" width="14.28515625" style="238" customWidth="1"/>
    <col min="6914" max="7163" width="9.140625" style="238"/>
    <col min="7164" max="7164" width="5.140625" style="238" customWidth="1"/>
    <col min="7165" max="7165" width="33.7109375" style="238" customWidth="1"/>
    <col min="7166" max="7166" width="14.140625" style="238" customWidth="1"/>
    <col min="7167" max="7169" width="14.28515625" style="238" customWidth="1"/>
    <col min="7170" max="7419" width="9.140625" style="238"/>
    <col min="7420" max="7420" width="5.140625" style="238" customWidth="1"/>
    <col min="7421" max="7421" width="33.7109375" style="238" customWidth="1"/>
    <col min="7422" max="7422" width="14.140625" style="238" customWidth="1"/>
    <col min="7423" max="7425" width="14.28515625" style="238" customWidth="1"/>
    <col min="7426" max="7675" width="9.140625" style="238"/>
    <col min="7676" max="7676" width="5.140625" style="238" customWidth="1"/>
    <col min="7677" max="7677" width="33.7109375" style="238" customWidth="1"/>
    <col min="7678" max="7678" width="14.140625" style="238" customWidth="1"/>
    <col min="7679" max="7681" width="14.28515625" style="238" customWidth="1"/>
    <col min="7682" max="7931" width="9.140625" style="238"/>
    <col min="7932" max="7932" width="5.140625" style="238" customWidth="1"/>
    <col min="7933" max="7933" width="33.7109375" style="238" customWidth="1"/>
    <col min="7934" max="7934" width="14.140625" style="238" customWidth="1"/>
    <col min="7935" max="7937" width="14.28515625" style="238" customWidth="1"/>
    <col min="7938" max="8187" width="9.140625" style="238"/>
    <col min="8188" max="8188" width="5.140625" style="238" customWidth="1"/>
    <col min="8189" max="8189" width="33.7109375" style="238" customWidth="1"/>
    <col min="8190" max="8190" width="14.140625" style="238" customWidth="1"/>
    <col min="8191" max="8193" width="14.28515625" style="238" customWidth="1"/>
    <col min="8194" max="8443" width="9.140625" style="238"/>
    <col min="8444" max="8444" width="5.140625" style="238" customWidth="1"/>
    <col min="8445" max="8445" width="33.7109375" style="238" customWidth="1"/>
    <col min="8446" max="8446" width="14.140625" style="238" customWidth="1"/>
    <col min="8447" max="8449" width="14.28515625" style="238" customWidth="1"/>
    <col min="8450" max="8699" width="9.140625" style="238"/>
    <col min="8700" max="8700" width="5.140625" style="238" customWidth="1"/>
    <col min="8701" max="8701" width="33.7109375" style="238" customWidth="1"/>
    <col min="8702" max="8702" width="14.140625" style="238" customWidth="1"/>
    <col min="8703" max="8705" width="14.28515625" style="238" customWidth="1"/>
    <col min="8706" max="8955" width="9.140625" style="238"/>
    <col min="8956" max="8956" width="5.140625" style="238" customWidth="1"/>
    <col min="8957" max="8957" width="33.7109375" style="238" customWidth="1"/>
    <col min="8958" max="8958" width="14.140625" style="238" customWidth="1"/>
    <col min="8959" max="8961" width="14.28515625" style="238" customWidth="1"/>
    <col min="8962" max="9211" width="9.140625" style="238"/>
    <col min="9212" max="9212" width="5.140625" style="238" customWidth="1"/>
    <col min="9213" max="9213" width="33.7109375" style="238" customWidth="1"/>
    <col min="9214" max="9214" width="14.140625" style="238" customWidth="1"/>
    <col min="9215" max="9217" width="14.28515625" style="238" customWidth="1"/>
    <col min="9218" max="9467" width="9.140625" style="238"/>
    <col min="9468" max="9468" width="5.140625" style="238" customWidth="1"/>
    <col min="9469" max="9469" width="33.7109375" style="238" customWidth="1"/>
    <col min="9470" max="9470" width="14.140625" style="238" customWidth="1"/>
    <col min="9471" max="9473" width="14.28515625" style="238" customWidth="1"/>
    <col min="9474" max="9723" width="9.140625" style="238"/>
    <col min="9724" max="9724" width="5.140625" style="238" customWidth="1"/>
    <col min="9725" max="9725" width="33.7109375" style="238" customWidth="1"/>
    <col min="9726" max="9726" width="14.140625" style="238" customWidth="1"/>
    <col min="9727" max="9729" width="14.28515625" style="238" customWidth="1"/>
    <col min="9730" max="9979" width="9.140625" style="238"/>
    <col min="9980" max="9980" width="5.140625" style="238" customWidth="1"/>
    <col min="9981" max="9981" width="33.7109375" style="238" customWidth="1"/>
    <col min="9982" max="9982" width="14.140625" style="238" customWidth="1"/>
    <col min="9983" max="9985" width="14.28515625" style="238" customWidth="1"/>
    <col min="9986" max="10235" width="9.140625" style="238"/>
    <col min="10236" max="10236" width="5.140625" style="238" customWidth="1"/>
    <col min="10237" max="10237" width="33.7109375" style="238" customWidth="1"/>
    <col min="10238" max="10238" width="14.140625" style="238" customWidth="1"/>
    <col min="10239" max="10241" width="14.28515625" style="238" customWidth="1"/>
    <col min="10242" max="10491" width="9.140625" style="238"/>
    <col min="10492" max="10492" width="5.140625" style="238" customWidth="1"/>
    <col min="10493" max="10493" width="33.7109375" style="238" customWidth="1"/>
    <col min="10494" max="10494" width="14.140625" style="238" customWidth="1"/>
    <col min="10495" max="10497" width="14.28515625" style="238" customWidth="1"/>
    <col min="10498" max="10747" width="9.140625" style="238"/>
    <col min="10748" max="10748" width="5.140625" style="238" customWidth="1"/>
    <col min="10749" max="10749" width="33.7109375" style="238" customWidth="1"/>
    <col min="10750" max="10750" width="14.140625" style="238" customWidth="1"/>
    <col min="10751" max="10753" width="14.28515625" style="238" customWidth="1"/>
    <col min="10754" max="11003" width="9.140625" style="238"/>
    <col min="11004" max="11004" width="5.140625" style="238" customWidth="1"/>
    <col min="11005" max="11005" width="33.7109375" style="238" customWidth="1"/>
    <col min="11006" max="11006" width="14.140625" style="238" customWidth="1"/>
    <col min="11007" max="11009" width="14.28515625" style="238" customWidth="1"/>
    <col min="11010" max="11259" width="9.140625" style="238"/>
    <col min="11260" max="11260" width="5.140625" style="238" customWidth="1"/>
    <col min="11261" max="11261" width="33.7109375" style="238" customWidth="1"/>
    <col min="11262" max="11262" width="14.140625" style="238" customWidth="1"/>
    <col min="11263" max="11265" width="14.28515625" style="238" customWidth="1"/>
    <col min="11266" max="11515" width="9.140625" style="238"/>
    <col min="11516" max="11516" width="5.140625" style="238" customWidth="1"/>
    <col min="11517" max="11517" width="33.7109375" style="238" customWidth="1"/>
    <col min="11518" max="11518" width="14.140625" style="238" customWidth="1"/>
    <col min="11519" max="11521" width="14.28515625" style="238" customWidth="1"/>
    <col min="11522" max="11771" width="9.140625" style="238"/>
    <col min="11772" max="11772" width="5.140625" style="238" customWidth="1"/>
    <col min="11773" max="11773" width="33.7109375" style="238" customWidth="1"/>
    <col min="11774" max="11774" width="14.140625" style="238" customWidth="1"/>
    <col min="11775" max="11777" width="14.28515625" style="238" customWidth="1"/>
    <col min="11778" max="12027" width="9.140625" style="238"/>
    <col min="12028" max="12028" width="5.140625" style="238" customWidth="1"/>
    <col min="12029" max="12029" width="33.7109375" style="238" customWidth="1"/>
    <col min="12030" max="12030" width="14.140625" style="238" customWidth="1"/>
    <col min="12031" max="12033" width="14.28515625" style="238" customWidth="1"/>
    <col min="12034" max="12283" width="9.140625" style="238"/>
    <col min="12284" max="12284" width="5.140625" style="238" customWidth="1"/>
    <col min="12285" max="12285" width="33.7109375" style="238" customWidth="1"/>
    <col min="12286" max="12286" width="14.140625" style="238" customWidth="1"/>
    <col min="12287" max="12289" width="14.28515625" style="238" customWidth="1"/>
    <col min="12290" max="12539" width="9.140625" style="238"/>
    <col min="12540" max="12540" width="5.140625" style="238" customWidth="1"/>
    <col min="12541" max="12541" width="33.7109375" style="238" customWidth="1"/>
    <col min="12542" max="12542" width="14.140625" style="238" customWidth="1"/>
    <col min="12543" max="12545" width="14.28515625" style="238" customWidth="1"/>
    <col min="12546" max="12795" width="9.140625" style="238"/>
    <col min="12796" max="12796" width="5.140625" style="238" customWidth="1"/>
    <col min="12797" max="12797" width="33.7109375" style="238" customWidth="1"/>
    <col min="12798" max="12798" width="14.140625" style="238" customWidth="1"/>
    <col min="12799" max="12801" width="14.28515625" style="238" customWidth="1"/>
    <col min="12802" max="13051" width="9.140625" style="238"/>
    <col min="13052" max="13052" width="5.140625" style="238" customWidth="1"/>
    <col min="13053" max="13053" width="33.7109375" style="238" customWidth="1"/>
    <col min="13054" max="13054" width="14.140625" style="238" customWidth="1"/>
    <col min="13055" max="13057" width="14.28515625" style="238" customWidth="1"/>
    <col min="13058" max="13307" width="9.140625" style="238"/>
    <col min="13308" max="13308" width="5.140625" style="238" customWidth="1"/>
    <col min="13309" max="13309" width="33.7109375" style="238" customWidth="1"/>
    <col min="13310" max="13310" width="14.140625" style="238" customWidth="1"/>
    <col min="13311" max="13313" width="14.28515625" style="238" customWidth="1"/>
    <col min="13314" max="13563" width="9.140625" style="238"/>
    <col min="13564" max="13564" width="5.140625" style="238" customWidth="1"/>
    <col min="13565" max="13565" width="33.7109375" style="238" customWidth="1"/>
    <col min="13566" max="13566" width="14.140625" style="238" customWidth="1"/>
    <col min="13567" max="13569" width="14.28515625" style="238" customWidth="1"/>
    <col min="13570" max="13819" width="9.140625" style="238"/>
    <col min="13820" max="13820" width="5.140625" style="238" customWidth="1"/>
    <col min="13821" max="13821" width="33.7109375" style="238" customWidth="1"/>
    <col min="13822" max="13822" width="14.140625" style="238" customWidth="1"/>
    <col min="13823" max="13825" width="14.28515625" style="238" customWidth="1"/>
    <col min="13826" max="14075" width="9.140625" style="238"/>
    <col min="14076" max="14076" width="5.140625" style="238" customWidth="1"/>
    <col min="14077" max="14077" width="33.7109375" style="238" customWidth="1"/>
    <col min="14078" max="14078" width="14.140625" style="238" customWidth="1"/>
    <col min="14079" max="14081" width="14.28515625" style="238" customWidth="1"/>
    <col min="14082" max="14331" width="9.140625" style="238"/>
    <col min="14332" max="14332" width="5.140625" style="238" customWidth="1"/>
    <col min="14333" max="14333" width="33.7109375" style="238" customWidth="1"/>
    <col min="14334" max="14334" width="14.140625" style="238" customWidth="1"/>
    <col min="14335" max="14337" width="14.28515625" style="238" customWidth="1"/>
    <col min="14338" max="14587" width="9.140625" style="238"/>
    <col min="14588" max="14588" width="5.140625" style="238" customWidth="1"/>
    <col min="14589" max="14589" width="33.7109375" style="238" customWidth="1"/>
    <col min="14590" max="14590" width="14.140625" style="238" customWidth="1"/>
    <col min="14591" max="14593" width="14.28515625" style="238" customWidth="1"/>
    <col min="14594" max="14843" width="9.140625" style="238"/>
    <col min="14844" max="14844" width="5.140625" style="238" customWidth="1"/>
    <col min="14845" max="14845" width="33.7109375" style="238" customWidth="1"/>
    <col min="14846" max="14846" width="14.140625" style="238" customWidth="1"/>
    <col min="14847" max="14849" width="14.28515625" style="238" customWidth="1"/>
    <col min="14850" max="15099" width="9.140625" style="238"/>
    <col min="15100" max="15100" width="5.140625" style="238" customWidth="1"/>
    <col min="15101" max="15101" width="33.7109375" style="238" customWidth="1"/>
    <col min="15102" max="15102" width="14.140625" style="238" customWidth="1"/>
    <col min="15103" max="15105" width="14.28515625" style="238" customWidth="1"/>
    <col min="15106" max="15355" width="9.140625" style="238"/>
    <col min="15356" max="15356" width="5.140625" style="238" customWidth="1"/>
    <col min="15357" max="15357" width="33.7109375" style="238" customWidth="1"/>
    <col min="15358" max="15358" width="14.140625" style="238" customWidth="1"/>
    <col min="15359" max="15361" width="14.28515625" style="238" customWidth="1"/>
    <col min="15362" max="15611" width="9.140625" style="238"/>
    <col min="15612" max="15612" width="5.140625" style="238" customWidth="1"/>
    <col min="15613" max="15613" width="33.7109375" style="238" customWidth="1"/>
    <col min="15614" max="15614" width="14.140625" style="238" customWidth="1"/>
    <col min="15615" max="15617" width="14.28515625" style="238" customWidth="1"/>
    <col min="15618" max="15867" width="9.140625" style="238"/>
    <col min="15868" max="15868" width="5.140625" style="238" customWidth="1"/>
    <col min="15869" max="15869" width="33.7109375" style="238" customWidth="1"/>
    <col min="15870" max="15870" width="14.140625" style="238" customWidth="1"/>
    <col min="15871" max="15873" width="14.28515625" style="238" customWidth="1"/>
    <col min="15874" max="16123" width="9.140625" style="238"/>
    <col min="16124" max="16124" width="5.140625" style="238" customWidth="1"/>
    <col min="16125" max="16125" width="33.7109375" style="238" customWidth="1"/>
    <col min="16126" max="16126" width="14.140625" style="238" customWidth="1"/>
    <col min="16127" max="16129" width="14.28515625" style="238" customWidth="1"/>
    <col min="16130" max="16384" width="9.140625" style="238"/>
  </cols>
  <sheetData>
    <row r="1" spans="1:5" x14ac:dyDescent="0.2">
      <c r="A1" s="249"/>
      <c r="B1" s="484" t="s">
        <v>622</v>
      </c>
      <c r="C1" s="484"/>
      <c r="D1" s="484"/>
      <c r="E1" s="484"/>
    </row>
    <row r="2" spans="1:5" x14ac:dyDescent="0.2">
      <c r="A2" s="249"/>
      <c r="B2" s="499" t="s">
        <v>614</v>
      </c>
      <c r="C2" s="499"/>
      <c r="D2" s="499"/>
      <c r="E2" s="499"/>
    </row>
    <row r="3" spans="1:5" x14ac:dyDescent="0.2">
      <c r="A3" s="249"/>
      <c r="B3" s="500" t="s">
        <v>576</v>
      </c>
      <c r="C3" s="500"/>
      <c r="D3" s="500"/>
      <c r="E3" s="500"/>
    </row>
    <row r="4" spans="1:5" x14ac:dyDescent="0.2">
      <c r="A4" s="249"/>
      <c r="B4" s="500" t="s">
        <v>577</v>
      </c>
      <c r="C4" s="500"/>
      <c r="D4" s="500"/>
      <c r="E4" s="500"/>
    </row>
    <row r="5" spans="1:5" x14ac:dyDescent="0.2">
      <c r="A5" s="249"/>
      <c r="B5" s="436" t="s">
        <v>591</v>
      </c>
      <c r="C5" s="436"/>
      <c r="D5" s="436"/>
      <c r="E5" s="436"/>
    </row>
    <row r="6" spans="1:5" ht="12.75" customHeight="1" x14ac:dyDescent="0.2">
      <c r="A6" s="249"/>
      <c r="B6" s="436" t="s">
        <v>578</v>
      </c>
      <c r="C6" s="436"/>
      <c r="D6" s="436"/>
      <c r="E6" s="436"/>
    </row>
    <row r="7" spans="1:5" ht="12.75" customHeight="1" x14ac:dyDescent="0.2">
      <c r="A7" s="246" t="s">
        <v>615</v>
      </c>
      <c r="B7" s="477" t="s">
        <v>577</v>
      </c>
      <c r="C7" s="477"/>
      <c r="D7" s="477"/>
      <c r="E7" s="477"/>
    </row>
    <row r="8" spans="1:5" ht="12.75" customHeight="1" x14ac:dyDescent="0.2">
      <c r="A8" s="246"/>
      <c r="B8" s="436" t="s">
        <v>592</v>
      </c>
      <c r="C8" s="436"/>
      <c r="D8" s="436"/>
      <c r="E8" s="436"/>
    </row>
    <row r="9" spans="1:5" x14ac:dyDescent="0.2">
      <c r="C9" s="239"/>
    </row>
    <row r="10" spans="1:5" ht="15.75" x14ac:dyDescent="0.25">
      <c r="A10" s="495" t="s">
        <v>623</v>
      </c>
      <c r="B10" s="495"/>
      <c r="C10" s="495"/>
      <c r="D10" s="495"/>
      <c r="E10" s="495"/>
    </row>
    <row r="11" spans="1:5" s="259" customFormat="1" ht="56.25" customHeight="1" x14ac:dyDescent="0.2">
      <c r="A11" s="496" t="s">
        <v>625</v>
      </c>
      <c r="B11" s="496"/>
      <c r="C11" s="496"/>
      <c r="D11" s="496"/>
      <c r="E11" s="496"/>
    </row>
    <row r="12" spans="1:5" x14ac:dyDescent="0.2">
      <c r="C12" s="248"/>
      <c r="D12" s="248"/>
      <c r="E12" s="248" t="s">
        <v>579</v>
      </c>
    </row>
    <row r="13" spans="1:5" ht="14.25" x14ac:dyDescent="0.2">
      <c r="A13" s="501" t="s">
        <v>512</v>
      </c>
      <c r="B13" s="501" t="s">
        <v>580</v>
      </c>
      <c r="C13" s="501"/>
      <c r="D13" s="476" t="s">
        <v>95</v>
      </c>
      <c r="E13" s="476"/>
    </row>
    <row r="14" spans="1:5" s="242" customFormat="1" ht="15.75" x14ac:dyDescent="0.2">
      <c r="A14" s="501"/>
      <c r="B14" s="501"/>
      <c r="C14" s="501"/>
      <c r="D14" s="267" t="s">
        <v>608</v>
      </c>
      <c r="E14" s="267" t="s">
        <v>610</v>
      </c>
    </row>
    <row r="15" spans="1:5" ht="15.75" x14ac:dyDescent="0.25">
      <c r="A15" s="261" t="s">
        <v>617</v>
      </c>
      <c r="B15" s="493" t="s">
        <v>584</v>
      </c>
      <c r="C15" s="494"/>
      <c r="D15" s="262">
        <v>189.1</v>
      </c>
      <c r="E15" s="262">
        <v>185.4</v>
      </c>
    </row>
    <row r="16" spans="1:5" ht="15.75" x14ac:dyDescent="0.25">
      <c r="A16" s="263" t="s">
        <v>618</v>
      </c>
      <c r="B16" s="493" t="s">
        <v>582</v>
      </c>
      <c r="C16" s="494"/>
      <c r="D16" s="262">
        <v>171.1</v>
      </c>
      <c r="E16" s="262">
        <v>167.6</v>
      </c>
    </row>
    <row r="17" spans="1:5" ht="15.75" x14ac:dyDescent="0.25">
      <c r="A17" s="263" t="s">
        <v>619</v>
      </c>
      <c r="B17" s="493" t="s">
        <v>583</v>
      </c>
      <c r="C17" s="494"/>
      <c r="D17" s="262">
        <v>73.099999999999994</v>
      </c>
      <c r="E17" s="262">
        <v>71.599999999999994</v>
      </c>
    </row>
    <row r="18" spans="1:5" ht="15.75" x14ac:dyDescent="0.25">
      <c r="A18" s="263" t="s">
        <v>620</v>
      </c>
      <c r="B18" s="493" t="s">
        <v>586</v>
      </c>
      <c r="C18" s="494"/>
      <c r="D18" s="262">
        <v>191.1</v>
      </c>
      <c r="E18" s="262">
        <v>187.2</v>
      </c>
    </row>
    <row r="19" spans="1:5" ht="15.75" x14ac:dyDescent="0.25">
      <c r="A19" s="264"/>
      <c r="B19" s="491" t="s">
        <v>602</v>
      </c>
      <c r="C19" s="492"/>
      <c r="D19" s="265">
        <f>SUM(D15:D18)</f>
        <v>624.4</v>
      </c>
      <c r="E19" s="265">
        <f>SUM(E15:E18)</f>
        <v>611.79999999999995</v>
      </c>
    </row>
    <row r="20" spans="1:5" x14ac:dyDescent="0.2">
      <c r="D20" s="266"/>
    </row>
  </sheetData>
  <mergeCells count="18">
    <mergeCell ref="B6:E6"/>
    <mergeCell ref="B1:E1"/>
    <mergeCell ref="B2:E2"/>
    <mergeCell ref="B3:E3"/>
    <mergeCell ref="B4:E4"/>
    <mergeCell ref="B5:E5"/>
    <mergeCell ref="B7:E7"/>
    <mergeCell ref="B8:E8"/>
    <mergeCell ref="A10:E10"/>
    <mergeCell ref="A11:E11"/>
    <mergeCell ref="A13:A14"/>
    <mergeCell ref="B13:C14"/>
    <mergeCell ref="D13:E13"/>
    <mergeCell ref="B18:C18"/>
    <mergeCell ref="B19:C19"/>
    <mergeCell ref="B15:C15"/>
    <mergeCell ref="B16:C16"/>
    <mergeCell ref="B17:C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view="pageBreakPreview" zoomScale="60" zoomScaleNormal="100" workbookViewId="0">
      <selection activeCell="J29" sqref="J29"/>
    </sheetView>
  </sheetViews>
  <sheetFormatPr defaultRowHeight="12.75" x14ac:dyDescent="0.2"/>
  <cols>
    <col min="4" max="4" width="11.85546875" customWidth="1"/>
    <col min="5" max="5" width="20.7109375" customWidth="1"/>
    <col min="260" max="260" width="11.85546875" customWidth="1"/>
    <col min="261" max="261" width="20.7109375" customWidth="1"/>
    <col min="516" max="516" width="11.85546875" customWidth="1"/>
    <col min="517" max="517" width="20.7109375" customWidth="1"/>
    <col min="772" max="772" width="11.85546875" customWidth="1"/>
    <col min="773" max="773" width="20.7109375" customWidth="1"/>
    <col min="1028" max="1028" width="11.85546875" customWidth="1"/>
    <col min="1029" max="1029" width="20.7109375" customWidth="1"/>
    <col min="1284" max="1284" width="11.85546875" customWidth="1"/>
    <col min="1285" max="1285" width="20.7109375" customWidth="1"/>
    <col min="1540" max="1540" width="11.85546875" customWidth="1"/>
    <col min="1541" max="1541" width="20.7109375" customWidth="1"/>
    <col min="1796" max="1796" width="11.85546875" customWidth="1"/>
    <col min="1797" max="1797" width="20.7109375" customWidth="1"/>
    <col min="2052" max="2052" width="11.85546875" customWidth="1"/>
    <col min="2053" max="2053" width="20.7109375" customWidth="1"/>
    <col min="2308" max="2308" width="11.85546875" customWidth="1"/>
    <col min="2309" max="2309" width="20.7109375" customWidth="1"/>
    <col min="2564" max="2564" width="11.85546875" customWidth="1"/>
    <col min="2565" max="2565" width="20.7109375" customWidth="1"/>
    <col min="2820" max="2820" width="11.85546875" customWidth="1"/>
    <col min="2821" max="2821" width="20.7109375" customWidth="1"/>
    <col min="3076" max="3076" width="11.85546875" customWidth="1"/>
    <col min="3077" max="3077" width="20.7109375" customWidth="1"/>
    <col min="3332" max="3332" width="11.85546875" customWidth="1"/>
    <col min="3333" max="3333" width="20.7109375" customWidth="1"/>
    <col min="3588" max="3588" width="11.85546875" customWidth="1"/>
    <col min="3589" max="3589" width="20.7109375" customWidth="1"/>
    <col min="3844" max="3844" width="11.85546875" customWidth="1"/>
    <col min="3845" max="3845" width="20.7109375" customWidth="1"/>
    <col min="4100" max="4100" width="11.85546875" customWidth="1"/>
    <col min="4101" max="4101" width="20.7109375" customWidth="1"/>
    <col min="4356" max="4356" width="11.85546875" customWidth="1"/>
    <col min="4357" max="4357" width="20.7109375" customWidth="1"/>
    <col min="4612" max="4612" width="11.85546875" customWidth="1"/>
    <col min="4613" max="4613" width="20.7109375" customWidth="1"/>
    <col min="4868" max="4868" width="11.85546875" customWidth="1"/>
    <col min="4869" max="4869" width="20.7109375" customWidth="1"/>
    <col min="5124" max="5124" width="11.85546875" customWidth="1"/>
    <col min="5125" max="5125" width="20.7109375" customWidth="1"/>
    <col min="5380" max="5380" width="11.85546875" customWidth="1"/>
    <col min="5381" max="5381" width="20.7109375" customWidth="1"/>
    <col min="5636" max="5636" width="11.85546875" customWidth="1"/>
    <col min="5637" max="5637" width="20.7109375" customWidth="1"/>
    <col min="5892" max="5892" width="11.85546875" customWidth="1"/>
    <col min="5893" max="5893" width="20.7109375" customWidth="1"/>
    <col min="6148" max="6148" width="11.85546875" customWidth="1"/>
    <col min="6149" max="6149" width="20.7109375" customWidth="1"/>
    <col min="6404" max="6404" width="11.85546875" customWidth="1"/>
    <col min="6405" max="6405" width="20.7109375" customWidth="1"/>
    <col min="6660" max="6660" width="11.85546875" customWidth="1"/>
    <col min="6661" max="6661" width="20.7109375" customWidth="1"/>
    <col min="6916" max="6916" width="11.85546875" customWidth="1"/>
    <col min="6917" max="6917" width="20.7109375" customWidth="1"/>
    <col min="7172" max="7172" width="11.85546875" customWidth="1"/>
    <col min="7173" max="7173" width="20.7109375" customWidth="1"/>
    <col min="7428" max="7428" width="11.85546875" customWidth="1"/>
    <col min="7429" max="7429" width="20.7109375" customWidth="1"/>
    <col min="7684" max="7684" width="11.85546875" customWidth="1"/>
    <col min="7685" max="7685" width="20.7109375" customWidth="1"/>
    <col min="7940" max="7940" width="11.85546875" customWidth="1"/>
    <col min="7941" max="7941" width="20.7109375" customWidth="1"/>
    <col min="8196" max="8196" width="11.85546875" customWidth="1"/>
    <col min="8197" max="8197" width="20.7109375" customWidth="1"/>
    <col min="8452" max="8452" width="11.85546875" customWidth="1"/>
    <col min="8453" max="8453" width="20.7109375" customWidth="1"/>
    <col min="8708" max="8708" width="11.85546875" customWidth="1"/>
    <col min="8709" max="8709" width="20.7109375" customWidth="1"/>
    <col min="8964" max="8964" width="11.85546875" customWidth="1"/>
    <col min="8965" max="8965" width="20.7109375" customWidth="1"/>
    <col min="9220" max="9220" width="11.85546875" customWidth="1"/>
    <col min="9221" max="9221" width="20.7109375" customWidth="1"/>
    <col min="9476" max="9476" width="11.85546875" customWidth="1"/>
    <col min="9477" max="9477" width="20.7109375" customWidth="1"/>
    <col min="9732" max="9732" width="11.85546875" customWidth="1"/>
    <col min="9733" max="9733" width="20.7109375" customWidth="1"/>
    <col min="9988" max="9988" width="11.85546875" customWidth="1"/>
    <col min="9989" max="9989" width="20.7109375" customWidth="1"/>
    <col min="10244" max="10244" width="11.85546875" customWidth="1"/>
    <col min="10245" max="10245" width="20.7109375" customWidth="1"/>
    <col min="10500" max="10500" width="11.85546875" customWidth="1"/>
    <col min="10501" max="10501" width="20.7109375" customWidth="1"/>
    <col min="10756" max="10756" width="11.85546875" customWidth="1"/>
    <col min="10757" max="10757" width="20.7109375" customWidth="1"/>
    <col min="11012" max="11012" width="11.85546875" customWidth="1"/>
    <col min="11013" max="11013" width="20.7109375" customWidth="1"/>
    <col min="11268" max="11268" width="11.85546875" customWidth="1"/>
    <col min="11269" max="11269" width="20.7109375" customWidth="1"/>
    <col min="11524" max="11524" width="11.85546875" customWidth="1"/>
    <col min="11525" max="11525" width="20.7109375" customWidth="1"/>
    <col min="11780" max="11780" width="11.85546875" customWidth="1"/>
    <col min="11781" max="11781" width="20.7109375" customWidth="1"/>
    <col min="12036" max="12036" width="11.85546875" customWidth="1"/>
    <col min="12037" max="12037" width="20.7109375" customWidth="1"/>
    <col min="12292" max="12292" width="11.85546875" customWidth="1"/>
    <col min="12293" max="12293" width="20.7109375" customWidth="1"/>
    <col min="12548" max="12548" width="11.85546875" customWidth="1"/>
    <col min="12549" max="12549" width="20.7109375" customWidth="1"/>
    <col min="12804" max="12804" width="11.85546875" customWidth="1"/>
    <col min="12805" max="12805" width="20.7109375" customWidth="1"/>
    <col min="13060" max="13060" width="11.85546875" customWidth="1"/>
    <col min="13061" max="13061" width="20.7109375" customWidth="1"/>
    <col min="13316" max="13316" width="11.85546875" customWidth="1"/>
    <col min="13317" max="13317" width="20.7109375" customWidth="1"/>
    <col min="13572" max="13572" width="11.85546875" customWidth="1"/>
    <col min="13573" max="13573" width="20.7109375" customWidth="1"/>
    <col min="13828" max="13828" width="11.85546875" customWidth="1"/>
    <col min="13829" max="13829" width="20.7109375" customWidth="1"/>
    <col min="14084" max="14084" width="11.85546875" customWidth="1"/>
    <col min="14085" max="14085" width="20.7109375" customWidth="1"/>
    <col min="14340" max="14340" width="11.85546875" customWidth="1"/>
    <col min="14341" max="14341" width="20.7109375" customWidth="1"/>
    <col min="14596" max="14596" width="11.85546875" customWidth="1"/>
    <col min="14597" max="14597" width="20.7109375" customWidth="1"/>
    <col min="14852" max="14852" width="11.85546875" customWidth="1"/>
    <col min="14853" max="14853" width="20.7109375" customWidth="1"/>
    <col min="15108" max="15108" width="11.85546875" customWidth="1"/>
    <col min="15109" max="15109" width="20.7109375" customWidth="1"/>
    <col min="15364" max="15364" width="11.85546875" customWidth="1"/>
    <col min="15365" max="15365" width="20.7109375" customWidth="1"/>
    <col min="15620" max="15620" width="11.85546875" customWidth="1"/>
    <col min="15621" max="15621" width="20.7109375" customWidth="1"/>
    <col min="15876" max="15876" width="11.85546875" customWidth="1"/>
    <col min="15877" max="15877" width="20.7109375" customWidth="1"/>
    <col min="16132" max="16132" width="11.85546875" customWidth="1"/>
    <col min="16133" max="16133" width="20.7109375" customWidth="1"/>
  </cols>
  <sheetData>
    <row r="1" spans="1:5" x14ac:dyDescent="0.2">
      <c r="A1" s="249"/>
      <c r="B1" s="249"/>
      <c r="C1" s="484" t="s">
        <v>599</v>
      </c>
      <c r="D1" s="484"/>
      <c r="E1" s="484"/>
    </row>
    <row r="2" spans="1:5" x14ac:dyDescent="0.2">
      <c r="A2" s="249"/>
      <c r="B2" s="249"/>
      <c r="C2" s="436" t="s">
        <v>575</v>
      </c>
      <c r="D2" s="436"/>
      <c r="E2" s="436"/>
    </row>
    <row r="3" spans="1:5" x14ac:dyDescent="0.2">
      <c r="A3" s="249"/>
      <c r="B3" s="249"/>
      <c r="C3" s="436" t="s">
        <v>576</v>
      </c>
      <c r="D3" s="436"/>
      <c r="E3" s="436"/>
    </row>
    <row r="4" spans="1:5" x14ac:dyDescent="0.2">
      <c r="A4" s="249"/>
      <c r="B4" s="249"/>
      <c r="C4" s="436" t="s">
        <v>577</v>
      </c>
      <c r="D4" s="436"/>
      <c r="E4" s="436"/>
    </row>
    <row r="5" spans="1:5" x14ac:dyDescent="0.2">
      <c r="A5" s="249"/>
      <c r="B5" s="249" t="s">
        <v>600</v>
      </c>
      <c r="C5" s="436" t="s">
        <v>593</v>
      </c>
      <c r="D5" s="436"/>
      <c r="E5" s="436"/>
    </row>
    <row r="6" spans="1:5" x14ac:dyDescent="0.2">
      <c r="A6" s="249"/>
      <c r="B6" s="249"/>
      <c r="C6" s="436" t="s">
        <v>578</v>
      </c>
      <c r="D6" s="436"/>
      <c r="E6" s="436"/>
    </row>
    <row r="7" spans="1:5" x14ac:dyDescent="0.2">
      <c r="A7" s="477" t="s">
        <v>577</v>
      </c>
      <c r="B7" s="477"/>
      <c r="C7" s="477"/>
      <c r="D7" s="477"/>
      <c r="E7" s="477"/>
    </row>
    <row r="8" spans="1:5" x14ac:dyDescent="0.2">
      <c r="A8" s="473" t="s">
        <v>603</v>
      </c>
      <c r="B8" s="473"/>
      <c r="C8" s="473"/>
      <c r="D8" s="473"/>
      <c r="E8" s="473"/>
    </row>
    <row r="9" spans="1:5" x14ac:dyDescent="0.2">
      <c r="A9" s="238"/>
      <c r="B9" s="238"/>
      <c r="C9" s="239"/>
      <c r="D9" s="238"/>
      <c r="E9" s="238"/>
    </row>
    <row r="10" spans="1:5" x14ac:dyDescent="0.2">
      <c r="A10" s="478" t="s">
        <v>601</v>
      </c>
      <c r="B10" s="478"/>
      <c r="C10" s="478"/>
      <c r="D10" s="478"/>
      <c r="E10" s="478"/>
    </row>
    <row r="11" spans="1:5" ht="12.75" customHeight="1" x14ac:dyDescent="0.2">
      <c r="A11" s="490" t="s">
        <v>604</v>
      </c>
      <c r="B11" s="490"/>
      <c r="C11" s="490"/>
      <c r="D11" s="490"/>
      <c r="E11" s="490"/>
    </row>
    <row r="12" spans="1:5" x14ac:dyDescent="0.2">
      <c r="A12" s="490"/>
      <c r="B12" s="490"/>
      <c r="C12" s="490"/>
      <c r="D12" s="490"/>
      <c r="E12" s="490"/>
    </row>
    <row r="13" spans="1:5" x14ac:dyDescent="0.2">
      <c r="A13" s="490"/>
      <c r="B13" s="490"/>
      <c r="C13" s="490"/>
      <c r="D13" s="490"/>
      <c r="E13" s="490"/>
    </row>
    <row r="14" spans="1:5" x14ac:dyDescent="0.2">
      <c r="A14" s="238"/>
      <c r="B14" s="238"/>
      <c r="C14" s="248"/>
      <c r="D14" s="248"/>
      <c r="E14" s="248" t="s">
        <v>579</v>
      </c>
    </row>
    <row r="15" spans="1:5" ht="12.75" customHeight="1" x14ac:dyDescent="0.2">
      <c r="A15" s="504" t="s">
        <v>512</v>
      </c>
      <c r="B15" s="480" t="s">
        <v>580</v>
      </c>
      <c r="C15" s="506"/>
      <c r="D15" s="481"/>
      <c r="E15" s="510" t="s">
        <v>590</v>
      </c>
    </row>
    <row r="16" spans="1:5" x14ac:dyDescent="0.2">
      <c r="A16" s="505"/>
      <c r="B16" s="507"/>
      <c r="C16" s="508"/>
      <c r="D16" s="509"/>
      <c r="E16" s="511"/>
    </row>
    <row r="17" spans="1:9" ht="15" x14ac:dyDescent="0.25">
      <c r="A17" s="250">
        <v>1</v>
      </c>
      <c r="B17" s="469" t="s">
        <v>581</v>
      </c>
      <c r="C17" s="503"/>
      <c r="D17" s="470"/>
      <c r="E17" s="251">
        <v>1</v>
      </c>
    </row>
    <row r="18" spans="1:9" ht="15" x14ac:dyDescent="0.25">
      <c r="A18" s="250">
        <v>2</v>
      </c>
      <c r="B18" s="469" t="s">
        <v>582</v>
      </c>
      <c r="C18" s="503"/>
      <c r="D18" s="470"/>
      <c r="E18" s="251">
        <v>1</v>
      </c>
    </row>
    <row r="19" spans="1:9" ht="15" x14ac:dyDescent="0.25">
      <c r="A19" s="250">
        <v>3</v>
      </c>
      <c r="B19" s="469" t="s">
        <v>583</v>
      </c>
      <c r="C19" s="503"/>
      <c r="D19" s="470"/>
      <c r="E19" s="251">
        <v>1</v>
      </c>
    </row>
    <row r="20" spans="1:9" ht="15" x14ac:dyDescent="0.25">
      <c r="A20" s="250">
        <v>4</v>
      </c>
      <c r="B20" s="469" t="s">
        <v>584</v>
      </c>
      <c r="C20" s="503"/>
      <c r="D20" s="470"/>
      <c r="E20" s="251">
        <v>1</v>
      </c>
    </row>
    <row r="21" spans="1:9" ht="15" x14ac:dyDescent="0.25">
      <c r="A21" s="250">
        <v>5</v>
      </c>
      <c r="B21" s="469" t="s">
        <v>585</v>
      </c>
      <c r="C21" s="503"/>
      <c r="D21" s="470"/>
      <c r="E21" s="251">
        <v>1</v>
      </c>
      <c r="I21" s="252" t="s">
        <v>32</v>
      </c>
    </row>
    <row r="22" spans="1:9" ht="15" x14ac:dyDescent="0.25">
      <c r="A22" s="250">
        <v>6</v>
      </c>
      <c r="B22" s="469" t="s">
        <v>586</v>
      </c>
      <c r="C22" s="503"/>
      <c r="D22" s="470"/>
      <c r="E22" s="251">
        <v>1</v>
      </c>
    </row>
    <row r="23" spans="1:9" ht="15" x14ac:dyDescent="0.25">
      <c r="A23" s="253"/>
      <c r="B23" s="474" t="s">
        <v>602</v>
      </c>
      <c r="C23" s="502"/>
      <c r="D23" s="475"/>
      <c r="E23" s="254">
        <f>SUM(E17:E22)</f>
        <v>6</v>
      </c>
    </row>
    <row r="24" spans="1:9" x14ac:dyDescent="0.2">
      <c r="A24" s="238"/>
      <c r="B24" s="238"/>
      <c r="C24" s="238"/>
      <c r="D24" s="238"/>
      <c r="E24" s="238">
        <v>6</v>
      </c>
    </row>
    <row r="25" spans="1:9" x14ac:dyDescent="0.2">
      <c r="E25" s="268">
        <f>E24-E23</f>
        <v>0</v>
      </c>
    </row>
  </sheetData>
  <mergeCells count="20">
    <mergeCell ref="C6:E6"/>
    <mergeCell ref="C1:E1"/>
    <mergeCell ref="C2:E2"/>
    <mergeCell ref="C3:E3"/>
    <mergeCell ref="C4:E4"/>
    <mergeCell ref="C5:E5"/>
    <mergeCell ref="A7:E7"/>
    <mergeCell ref="A8:E8"/>
    <mergeCell ref="A10:E10"/>
    <mergeCell ref="A11:E13"/>
    <mergeCell ref="A15:A16"/>
    <mergeCell ref="B15:D16"/>
    <mergeCell ref="E15:E16"/>
    <mergeCell ref="B23:D23"/>
    <mergeCell ref="B17:D17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view="pageBreakPreview" topLeftCell="A3" zoomScale="60" zoomScaleNormal="100" workbookViewId="0">
      <selection activeCell="J29" sqref="J29"/>
    </sheetView>
  </sheetViews>
  <sheetFormatPr defaultRowHeight="12.75" x14ac:dyDescent="0.2"/>
  <cols>
    <col min="1" max="1" width="10.5703125" customWidth="1"/>
    <col min="4" max="4" width="30.42578125" customWidth="1"/>
    <col min="5" max="5" width="11.28515625" customWidth="1"/>
    <col min="6" max="6" width="10.85546875" customWidth="1"/>
    <col min="257" max="257" width="10.5703125" customWidth="1"/>
    <col min="260" max="260" width="30.42578125" customWidth="1"/>
    <col min="261" max="261" width="11.28515625" customWidth="1"/>
    <col min="262" max="262" width="10.85546875" customWidth="1"/>
    <col min="513" max="513" width="10.5703125" customWidth="1"/>
    <col min="516" max="516" width="30.42578125" customWidth="1"/>
    <col min="517" max="517" width="11.28515625" customWidth="1"/>
    <col min="518" max="518" width="10.85546875" customWidth="1"/>
    <col min="769" max="769" width="10.5703125" customWidth="1"/>
    <col min="772" max="772" width="30.42578125" customWidth="1"/>
    <col min="773" max="773" width="11.28515625" customWidth="1"/>
    <col min="774" max="774" width="10.85546875" customWidth="1"/>
    <col min="1025" max="1025" width="10.5703125" customWidth="1"/>
    <col min="1028" max="1028" width="30.42578125" customWidth="1"/>
    <col min="1029" max="1029" width="11.28515625" customWidth="1"/>
    <col min="1030" max="1030" width="10.85546875" customWidth="1"/>
    <col min="1281" max="1281" width="10.5703125" customWidth="1"/>
    <col min="1284" max="1284" width="30.42578125" customWidth="1"/>
    <col min="1285" max="1285" width="11.28515625" customWidth="1"/>
    <col min="1286" max="1286" width="10.85546875" customWidth="1"/>
    <col min="1537" max="1537" width="10.5703125" customWidth="1"/>
    <col min="1540" max="1540" width="30.42578125" customWidth="1"/>
    <col min="1541" max="1541" width="11.28515625" customWidth="1"/>
    <col min="1542" max="1542" width="10.85546875" customWidth="1"/>
    <col min="1793" max="1793" width="10.5703125" customWidth="1"/>
    <col min="1796" max="1796" width="30.42578125" customWidth="1"/>
    <col min="1797" max="1797" width="11.28515625" customWidth="1"/>
    <col min="1798" max="1798" width="10.85546875" customWidth="1"/>
    <col min="2049" max="2049" width="10.5703125" customWidth="1"/>
    <col min="2052" max="2052" width="30.42578125" customWidth="1"/>
    <col min="2053" max="2053" width="11.28515625" customWidth="1"/>
    <col min="2054" max="2054" width="10.85546875" customWidth="1"/>
    <col min="2305" max="2305" width="10.5703125" customWidth="1"/>
    <col min="2308" max="2308" width="30.42578125" customWidth="1"/>
    <col min="2309" max="2309" width="11.28515625" customWidth="1"/>
    <col min="2310" max="2310" width="10.85546875" customWidth="1"/>
    <col min="2561" max="2561" width="10.5703125" customWidth="1"/>
    <col min="2564" max="2564" width="30.42578125" customWidth="1"/>
    <col min="2565" max="2565" width="11.28515625" customWidth="1"/>
    <col min="2566" max="2566" width="10.85546875" customWidth="1"/>
    <col min="2817" max="2817" width="10.5703125" customWidth="1"/>
    <col min="2820" max="2820" width="30.42578125" customWidth="1"/>
    <col min="2821" max="2821" width="11.28515625" customWidth="1"/>
    <col min="2822" max="2822" width="10.85546875" customWidth="1"/>
    <col min="3073" max="3073" width="10.5703125" customWidth="1"/>
    <col min="3076" max="3076" width="30.42578125" customWidth="1"/>
    <col min="3077" max="3077" width="11.28515625" customWidth="1"/>
    <col min="3078" max="3078" width="10.85546875" customWidth="1"/>
    <col min="3329" max="3329" width="10.5703125" customWidth="1"/>
    <col min="3332" max="3332" width="30.42578125" customWidth="1"/>
    <col min="3333" max="3333" width="11.28515625" customWidth="1"/>
    <col min="3334" max="3334" width="10.85546875" customWidth="1"/>
    <col min="3585" max="3585" width="10.5703125" customWidth="1"/>
    <col min="3588" max="3588" width="30.42578125" customWidth="1"/>
    <col min="3589" max="3589" width="11.28515625" customWidth="1"/>
    <col min="3590" max="3590" width="10.85546875" customWidth="1"/>
    <col min="3841" max="3841" width="10.5703125" customWidth="1"/>
    <col min="3844" max="3844" width="30.42578125" customWidth="1"/>
    <col min="3845" max="3845" width="11.28515625" customWidth="1"/>
    <col min="3846" max="3846" width="10.85546875" customWidth="1"/>
    <col min="4097" max="4097" width="10.5703125" customWidth="1"/>
    <col min="4100" max="4100" width="30.42578125" customWidth="1"/>
    <col min="4101" max="4101" width="11.28515625" customWidth="1"/>
    <col min="4102" max="4102" width="10.85546875" customWidth="1"/>
    <col min="4353" max="4353" width="10.5703125" customWidth="1"/>
    <col min="4356" max="4356" width="30.42578125" customWidth="1"/>
    <col min="4357" max="4357" width="11.28515625" customWidth="1"/>
    <col min="4358" max="4358" width="10.85546875" customWidth="1"/>
    <col min="4609" max="4609" width="10.5703125" customWidth="1"/>
    <col min="4612" max="4612" width="30.42578125" customWidth="1"/>
    <col min="4613" max="4613" width="11.28515625" customWidth="1"/>
    <col min="4614" max="4614" width="10.85546875" customWidth="1"/>
    <col min="4865" max="4865" width="10.5703125" customWidth="1"/>
    <col min="4868" max="4868" width="30.42578125" customWidth="1"/>
    <col min="4869" max="4869" width="11.28515625" customWidth="1"/>
    <col min="4870" max="4870" width="10.85546875" customWidth="1"/>
    <col min="5121" max="5121" width="10.5703125" customWidth="1"/>
    <col min="5124" max="5124" width="30.42578125" customWidth="1"/>
    <col min="5125" max="5125" width="11.28515625" customWidth="1"/>
    <col min="5126" max="5126" width="10.85546875" customWidth="1"/>
    <col min="5377" max="5377" width="10.5703125" customWidth="1"/>
    <col min="5380" max="5380" width="30.42578125" customWidth="1"/>
    <col min="5381" max="5381" width="11.28515625" customWidth="1"/>
    <col min="5382" max="5382" width="10.85546875" customWidth="1"/>
    <col min="5633" max="5633" width="10.5703125" customWidth="1"/>
    <col min="5636" max="5636" width="30.42578125" customWidth="1"/>
    <col min="5637" max="5637" width="11.28515625" customWidth="1"/>
    <col min="5638" max="5638" width="10.85546875" customWidth="1"/>
    <col min="5889" max="5889" width="10.5703125" customWidth="1"/>
    <col min="5892" max="5892" width="30.42578125" customWidth="1"/>
    <col min="5893" max="5893" width="11.28515625" customWidth="1"/>
    <col min="5894" max="5894" width="10.85546875" customWidth="1"/>
    <col min="6145" max="6145" width="10.5703125" customWidth="1"/>
    <col min="6148" max="6148" width="30.42578125" customWidth="1"/>
    <col min="6149" max="6149" width="11.28515625" customWidth="1"/>
    <col min="6150" max="6150" width="10.85546875" customWidth="1"/>
    <col min="6401" max="6401" width="10.5703125" customWidth="1"/>
    <col min="6404" max="6404" width="30.42578125" customWidth="1"/>
    <col min="6405" max="6405" width="11.28515625" customWidth="1"/>
    <col min="6406" max="6406" width="10.85546875" customWidth="1"/>
    <col min="6657" max="6657" width="10.5703125" customWidth="1"/>
    <col min="6660" max="6660" width="30.42578125" customWidth="1"/>
    <col min="6661" max="6661" width="11.28515625" customWidth="1"/>
    <col min="6662" max="6662" width="10.85546875" customWidth="1"/>
    <col min="6913" max="6913" width="10.5703125" customWidth="1"/>
    <col min="6916" max="6916" width="30.42578125" customWidth="1"/>
    <col min="6917" max="6917" width="11.28515625" customWidth="1"/>
    <col min="6918" max="6918" width="10.85546875" customWidth="1"/>
    <col min="7169" max="7169" width="10.5703125" customWidth="1"/>
    <col min="7172" max="7172" width="30.42578125" customWidth="1"/>
    <col min="7173" max="7173" width="11.28515625" customWidth="1"/>
    <col min="7174" max="7174" width="10.85546875" customWidth="1"/>
    <col min="7425" max="7425" width="10.5703125" customWidth="1"/>
    <col min="7428" max="7428" width="30.42578125" customWidth="1"/>
    <col min="7429" max="7429" width="11.28515625" customWidth="1"/>
    <col min="7430" max="7430" width="10.85546875" customWidth="1"/>
    <col min="7681" max="7681" width="10.5703125" customWidth="1"/>
    <col min="7684" max="7684" width="30.42578125" customWidth="1"/>
    <col min="7685" max="7685" width="11.28515625" customWidth="1"/>
    <col min="7686" max="7686" width="10.85546875" customWidth="1"/>
    <col min="7937" max="7937" width="10.5703125" customWidth="1"/>
    <col min="7940" max="7940" width="30.42578125" customWidth="1"/>
    <col min="7941" max="7941" width="11.28515625" customWidth="1"/>
    <col min="7942" max="7942" width="10.85546875" customWidth="1"/>
    <col min="8193" max="8193" width="10.5703125" customWidth="1"/>
    <col min="8196" max="8196" width="30.42578125" customWidth="1"/>
    <col min="8197" max="8197" width="11.28515625" customWidth="1"/>
    <col min="8198" max="8198" width="10.85546875" customWidth="1"/>
    <col min="8449" max="8449" width="10.5703125" customWidth="1"/>
    <col min="8452" max="8452" width="30.42578125" customWidth="1"/>
    <col min="8453" max="8453" width="11.28515625" customWidth="1"/>
    <col min="8454" max="8454" width="10.85546875" customWidth="1"/>
    <col min="8705" max="8705" width="10.5703125" customWidth="1"/>
    <col min="8708" max="8708" width="30.42578125" customWidth="1"/>
    <col min="8709" max="8709" width="11.28515625" customWidth="1"/>
    <col min="8710" max="8710" width="10.85546875" customWidth="1"/>
    <col min="8961" max="8961" width="10.5703125" customWidth="1"/>
    <col min="8964" max="8964" width="30.42578125" customWidth="1"/>
    <col min="8965" max="8965" width="11.28515625" customWidth="1"/>
    <col min="8966" max="8966" width="10.85546875" customWidth="1"/>
    <col min="9217" max="9217" width="10.5703125" customWidth="1"/>
    <col min="9220" max="9220" width="30.42578125" customWidth="1"/>
    <col min="9221" max="9221" width="11.28515625" customWidth="1"/>
    <col min="9222" max="9222" width="10.85546875" customWidth="1"/>
    <col min="9473" max="9473" width="10.5703125" customWidth="1"/>
    <col min="9476" max="9476" width="30.42578125" customWidth="1"/>
    <col min="9477" max="9477" width="11.28515625" customWidth="1"/>
    <col min="9478" max="9478" width="10.85546875" customWidth="1"/>
    <col min="9729" max="9729" width="10.5703125" customWidth="1"/>
    <col min="9732" max="9732" width="30.42578125" customWidth="1"/>
    <col min="9733" max="9733" width="11.28515625" customWidth="1"/>
    <col min="9734" max="9734" width="10.85546875" customWidth="1"/>
    <col min="9985" max="9985" width="10.5703125" customWidth="1"/>
    <col min="9988" max="9988" width="30.42578125" customWidth="1"/>
    <col min="9989" max="9989" width="11.28515625" customWidth="1"/>
    <col min="9990" max="9990" width="10.85546875" customWidth="1"/>
    <col min="10241" max="10241" width="10.5703125" customWidth="1"/>
    <col min="10244" max="10244" width="30.42578125" customWidth="1"/>
    <col min="10245" max="10245" width="11.28515625" customWidth="1"/>
    <col min="10246" max="10246" width="10.85546875" customWidth="1"/>
    <col min="10497" max="10497" width="10.5703125" customWidth="1"/>
    <col min="10500" max="10500" width="30.42578125" customWidth="1"/>
    <col min="10501" max="10501" width="11.28515625" customWidth="1"/>
    <col min="10502" max="10502" width="10.85546875" customWidth="1"/>
    <col min="10753" max="10753" width="10.5703125" customWidth="1"/>
    <col min="10756" max="10756" width="30.42578125" customWidth="1"/>
    <col min="10757" max="10757" width="11.28515625" customWidth="1"/>
    <col min="10758" max="10758" width="10.85546875" customWidth="1"/>
    <col min="11009" max="11009" width="10.5703125" customWidth="1"/>
    <col min="11012" max="11012" width="30.42578125" customWidth="1"/>
    <col min="11013" max="11013" width="11.28515625" customWidth="1"/>
    <col min="11014" max="11014" width="10.85546875" customWidth="1"/>
    <col min="11265" max="11265" width="10.5703125" customWidth="1"/>
    <col min="11268" max="11268" width="30.42578125" customWidth="1"/>
    <col min="11269" max="11269" width="11.28515625" customWidth="1"/>
    <col min="11270" max="11270" width="10.85546875" customWidth="1"/>
    <col min="11521" max="11521" width="10.5703125" customWidth="1"/>
    <col min="11524" max="11524" width="30.42578125" customWidth="1"/>
    <col min="11525" max="11525" width="11.28515625" customWidth="1"/>
    <col min="11526" max="11526" width="10.85546875" customWidth="1"/>
    <col min="11777" max="11777" width="10.5703125" customWidth="1"/>
    <col min="11780" max="11780" width="30.42578125" customWidth="1"/>
    <col min="11781" max="11781" width="11.28515625" customWidth="1"/>
    <col min="11782" max="11782" width="10.85546875" customWidth="1"/>
    <col min="12033" max="12033" width="10.5703125" customWidth="1"/>
    <col min="12036" max="12036" width="30.42578125" customWidth="1"/>
    <col min="12037" max="12037" width="11.28515625" customWidth="1"/>
    <col min="12038" max="12038" width="10.85546875" customWidth="1"/>
    <col min="12289" max="12289" width="10.5703125" customWidth="1"/>
    <col min="12292" max="12292" width="30.42578125" customWidth="1"/>
    <col min="12293" max="12293" width="11.28515625" customWidth="1"/>
    <col min="12294" max="12294" width="10.85546875" customWidth="1"/>
    <col min="12545" max="12545" width="10.5703125" customWidth="1"/>
    <col min="12548" max="12548" width="30.42578125" customWidth="1"/>
    <col min="12549" max="12549" width="11.28515625" customWidth="1"/>
    <col min="12550" max="12550" width="10.85546875" customWidth="1"/>
    <col min="12801" max="12801" width="10.5703125" customWidth="1"/>
    <col min="12804" max="12804" width="30.42578125" customWidth="1"/>
    <col min="12805" max="12805" width="11.28515625" customWidth="1"/>
    <col min="12806" max="12806" width="10.85546875" customWidth="1"/>
    <col min="13057" max="13057" width="10.5703125" customWidth="1"/>
    <col min="13060" max="13060" width="30.42578125" customWidth="1"/>
    <col min="13061" max="13061" width="11.28515625" customWidth="1"/>
    <col min="13062" max="13062" width="10.85546875" customWidth="1"/>
    <col min="13313" max="13313" width="10.5703125" customWidth="1"/>
    <col min="13316" max="13316" width="30.42578125" customWidth="1"/>
    <col min="13317" max="13317" width="11.28515625" customWidth="1"/>
    <col min="13318" max="13318" width="10.85546875" customWidth="1"/>
    <col min="13569" max="13569" width="10.5703125" customWidth="1"/>
    <col min="13572" max="13572" width="30.42578125" customWidth="1"/>
    <col min="13573" max="13573" width="11.28515625" customWidth="1"/>
    <col min="13574" max="13574" width="10.85546875" customWidth="1"/>
    <col min="13825" max="13825" width="10.5703125" customWidth="1"/>
    <col min="13828" max="13828" width="30.42578125" customWidth="1"/>
    <col min="13829" max="13829" width="11.28515625" customWidth="1"/>
    <col min="13830" max="13830" width="10.85546875" customWidth="1"/>
    <col min="14081" max="14081" width="10.5703125" customWidth="1"/>
    <col min="14084" max="14084" width="30.42578125" customWidth="1"/>
    <col min="14085" max="14085" width="11.28515625" customWidth="1"/>
    <col min="14086" max="14086" width="10.85546875" customWidth="1"/>
    <col min="14337" max="14337" width="10.5703125" customWidth="1"/>
    <col min="14340" max="14340" width="30.42578125" customWidth="1"/>
    <col min="14341" max="14341" width="11.28515625" customWidth="1"/>
    <col min="14342" max="14342" width="10.85546875" customWidth="1"/>
    <col min="14593" max="14593" width="10.5703125" customWidth="1"/>
    <col min="14596" max="14596" width="30.42578125" customWidth="1"/>
    <col min="14597" max="14597" width="11.28515625" customWidth="1"/>
    <col min="14598" max="14598" width="10.85546875" customWidth="1"/>
    <col min="14849" max="14849" width="10.5703125" customWidth="1"/>
    <col min="14852" max="14852" width="30.42578125" customWidth="1"/>
    <col min="14853" max="14853" width="11.28515625" customWidth="1"/>
    <col min="14854" max="14854" width="10.85546875" customWidth="1"/>
    <col min="15105" max="15105" width="10.5703125" customWidth="1"/>
    <col min="15108" max="15108" width="30.42578125" customWidth="1"/>
    <col min="15109" max="15109" width="11.28515625" customWidth="1"/>
    <col min="15110" max="15110" width="10.85546875" customWidth="1"/>
    <col min="15361" max="15361" width="10.5703125" customWidth="1"/>
    <col min="15364" max="15364" width="30.42578125" customWidth="1"/>
    <col min="15365" max="15365" width="11.28515625" customWidth="1"/>
    <col min="15366" max="15366" width="10.85546875" customWidth="1"/>
    <col min="15617" max="15617" width="10.5703125" customWidth="1"/>
    <col min="15620" max="15620" width="30.42578125" customWidth="1"/>
    <col min="15621" max="15621" width="11.28515625" customWidth="1"/>
    <col min="15622" max="15622" width="10.85546875" customWidth="1"/>
    <col min="15873" max="15873" width="10.5703125" customWidth="1"/>
    <col min="15876" max="15876" width="30.42578125" customWidth="1"/>
    <col min="15877" max="15877" width="11.28515625" customWidth="1"/>
    <col min="15878" max="15878" width="10.85546875" customWidth="1"/>
    <col min="16129" max="16129" width="10.5703125" customWidth="1"/>
    <col min="16132" max="16132" width="30.42578125" customWidth="1"/>
    <col min="16133" max="16133" width="11.28515625" customWidth="1"/>
    <col min="16134" max="16134" width="10.85546875" customWidth="1"/>
  </cols>
  <sheetData>
    <row r="1" spans="1:7" x14ac:dyDescent="0.2">
      <c r="A1" s="238"/>
      <c r="B1" s="238"/>
      <c r="C1" s="484" t="s">
        <v>605</v>
      </c>
      <c r="D1" s="484"/>
      <c r="E1" s="484"/>
      <c r="F1" s="484"/>
    </row>
    <row r="2" spans="1:7" x14ac:dyDescent="0.2">
      <c r="A2" s="238"/>
      <c r="B2" s="238"/>
      <c r="C2" s="436" t="s">
        <v>575</v>
      </c>
      <c r="D2" s="436"/>
      <c r="E2" s="436"/>
      <c r="F2" s="436"/>
    </row>
    <row r="3" spans="1:7" x14ac:dyDescent="0.2">
      <c r="A3" s="238"/>
      <c r="B3" s="238"/>
      <c r="C3" s="436" t="s">
        <v>576</v>
      </c>
      <c r="D3" s="436"/>
      <c r="E3" s="436"/>
      <c r="F3" s="436"/>
    </row>
    <row r="4" spans="1:7" x14ac:dyDescent="0.2">
      <c r="A4" s="238"/>
      <c r="B4" s="238"/>
      <c r="C4" s="436" t="s">
        <v>577</v>
      </c>
      <c r="D4" s="436"/>
      <c r="E4" s="436"/>
      <c r="F4" s="436"/>
    </row>
    <row r="5" spans="1:7" x14ac:dyDescent="0.2">
      <c r="A5" s="238"/>
      <c r="B5" s="238" t="s">
        <v>606</v>
      </c>
      <c r="C5" s="436" t="s">
        <v>593</v>
      </c>
      <c r="D5" s="436"/>
      <c r="E5" s="436"/>
      <c r="F5" s="436"/>
    </row>
    <row r="6" spans="1:7" x14ac:dyDescent="0.2">
      <c r="A6" s="238"/>
      <c r="B6" s="238"/>
      <c r="C6" s="436" t="s">
        <v>578</v>
      </c>
      <c r="D6" s="436"/>
      <c r="E6" s="436"/>
      <c r="F6" s="436"/>
    </row>
    <row r="7" spans="1:7" x14ac:dyDescent="0.2">
      <c r="A7" s="238"/>
      <c r="B7" s="477" t="s">
        <v>577</v>
      </c>
      <c r="C7" s="477"/>
      <c r="D7" s="477"/>
      <c r="E7" s="477"/>
      <c r="F7" s="477"/>
    </row>
    <row r="8" spans="1:7" x14ac:dyDescent="0.2">
      <c r="A8" s="238"/>
      <c r="B8" s="238" t="s">
        <v>607</v>
      </c>
      <c r="C8" s="436" t="s">
        <v>592</v>
      </c>
      <c r="D8" s="436"/>
      <c r="E8" s="436"/>
      <c r="F8" s="436"/>
    </row>
    <row r="9" spans="1:7" x14ac:dyDescent="0.2">
      <c r="A9" s="238"/>
      <c r="B9" s="238"/>
      <c r="C9" s="239"/>
      <c r="D9" s="238"/>
      <c r="E9" s="238"/>
    </row>
    <row r="10" spans="1:7" x14ac:dyDescent="0.2">
      <c r="A10" s="478" t="s">
        <v>601</v>
      </c>
      <c r="B10" s="478"/>
      <c r="C10" s="478"/>
      <c r="D10" s="478"/>
      <c r="E10" s="478"/>
      <c r="F10" s="478"/>
    </row>
    <row r="11" spans="1:7" ht="12.75" customHeight="1" x14ac:dyDescent="0.2">
      <c r="A11" s="490" t="s">
        <v>609</v>
      </c>
      <c r="B11" s="490"/>
      <c r="C11" s="490"/>
      <c r="D11" s="490"/>
      <c r="E11" s="490"/>
      <c r="F11" s="490"/>
    </row>
    <row r="12" spans="1:7" x14ac:dyDescent="0.2">
      <c r="A12" s="490"/>
      <c r="B12" s="490"/>
      <c r="C12" s="490"/>
      <c r="D12" s="490"/>
      <c r="E12" s="490"/>
      <c r="F12" s="490"/>
    </row>
    <row r="13" spans="1:7" x14ac:dyDescent="0.2">
      <c r="A13" s="490"/>
      <c r="B13" s="490"/>
      <c r="C13" s="490"/>
      <c r="D13" s="490"/>
      <c r="E13" s="490"/>
      <c r="F13" s="490"/>
    </row>
    <row r="14" spans="1:7" x14ac:dyDescent="0.2">
      <c r="A14" s="238"/>
      <c r="B14" s="238"/>
      <c r="C14" s="248"/>
      <c r="D14" s="248"/>
      <c r="E14" s="248"/>
    </row>
    <row r="15" spans="1:7" x14ac:dyDescent="0.2">
      <c r="A15" s="238"/>
      <c r="B15" s="238"/>
      <c r="C15" s="248"/>
      <c r="D15" s="248"/>
      <c r="E15" s="248"/>
      <c r="F15" s="248" t="s">
        <v>579</v>
      </c>
    </row>
    <row r="16" spans="1:7" x14ac:dyDescent="0.2">
      <c r="A16" s="482" t="s">
        <v>512</v>
      </c>
      <c r="B16" s="482" t="s">
        <v>580</v>
      </c>
      <c r="C16" s="482"/>
      <c r="D16" s="482"/>
      <c r="E16" s="489" t="s">
        <v>95</v>
      </c>
      <c r="F16" s="489"/>
      <c r="G16" s="252" t="s">
        <v>32</v>
      </c>
    </row>
    <row r="17" spans="1:8" ht="12.75" customHeight="1" x14ac:dyDescent="0.2">
      <c r="A17" s="482"/>
      <c r="B17" s="482"/>
      <c r="C17" s="482"/>
      <c r="D17" s="482"/>
      <c r="E17" s="513" t="s">
        <v>608</v>
      </c>
      <c r="F17" s="513" t="s">
        <v>610</v>
      </c>
    </row>
    <row r="18" spans="1:8" x14ac:dyDescent="0.2">
      <c r="A18" s="482"/>
      <c r="B18" s="482"/>
      <c r="C18" s="482"/>
      <c r="D18" s="482"/>
      <c r="E18" s="514"/>
      <c r="F18" s="514"/>
    </row>
    <row r="19" spans="1:8" ht="15" x14ac:dyDescent="0.25">
      <c r="A19" s="250">
        <v>1</v>
      </c>
      <c r="B19" s="469" t="s">
        <v>581</v>
      </c>
      <c r="C19" s="503"/>
      <c r="D19" s="470"/>
      <c r="E19" s="251">
        <v>0.9</v>
      </c>
      <c r="F19" s="251">
        <v>0.9</v>
      </c>
    </row>
    <row r="20" spans="1:8" ht="15" x14ac:dyDescent="0.25">
      <c r="A20" s="250">
        <v>2</v>
      </c>
      <c r="B20" s="469" t="s">
        <v>582</v>
      </c>
      <c r="C20" s="503"/>
      <c r="D20" s="470"/>
      <c r="E20" s="251">
        <v>0.9</v>
      </c>
      <c r="F20" s="251">
        <v>0.9</v>
      </c>
    </row>
    <row r="21" spans="1:8" ht="15" x14ac:dyDescent="0.25">
      <c r="A21" s="250">
        <v>3</v>
      </c>
      <c r="B21" s="469" t="s">
        <v>583</v>
      </c>
      <c r="C21" s="503"/>
      <c r="D21" s="470"/>
      <c r="E21" s="251">
        <v>0.9</v>
      </c>
      <c r="F21" s="251">
        <v>0.9</v>
      </c>
    </row>
    <row r="22" spans="1:8" ht="15" x14ac:dyDescent="0.25">
      <c r="A22" s="250">
        <v>4</v>
      </c>
      <c r="B22" s="469" t="s">
        <v>584</v>
      </c>
      <c r="C22" s="503"/>
      <c r="D22" s="470"/>
      <c r="E22" s="251">
        <v>0.9</v>
      </c>
      <c r="F22" s="251">
        <v>0.9</v>
      </c>
    </row>
    <row r="23" spans="1:8" ht="15" x14ac:dyDescent="0.25">
      <c r="A23" s="250">
        <v>5</v>
      </c>
      <c r="B23" s="469" t="s">
        <v>585</v>
      </c>
      <c r="C23" s="503"/>
      <c r="D23" s="470"/>
      <c r="E23" s="251">
        <v>0.9</v>
      </c>
      <c r="F23" s="251">
        <v>0.9</v>
      </c>
      <c r="H23" s="252" t="s">
        <v>32</v>
      </c>
    </row>
    <row r="24" spans="1:8" ht="15" x14ac:dyDescent="0.25">
      <c r="A24" s="250">
        <v>6</v>
      </c>
      <c r="B24" s="469" t="s">
        <v>586</v>
      </c>
      <c r="C24" s="503"/>
      <c r="D24" s="470"/>
      <c r="E24" s="251">
        <v>0.9</v>
      </c>
      <c r="F24" s="251">
        <v>0.9</v>
      </c>
    </row>
    <row r="25" spans="1:8" ht="15" x14ac:dyDescent="0.25">
      <c r="A25" s="512" t="s">
        <v>602</v>
      </c>
      <c r="B25" s="512"/>
      <c r="C25" s="512"/>
      <c r="D25" s="512"/>
      <c r="E25" s="254">
        <f>SUM(E19:E24)</f>
        <v>5.4</v>
      </c>
      <c r="F25" s="254">
        <f>SUM(F19:F24)</f>
        <v>5.4</v>
      </c>
    </row>
    <row r="26" spans="1:8" x14ac:dyDescent="0.2">
      <c r="A26" s="238"/>
      <c r="B26" s="238"/>
      <c r="C26" s="238"/>
      <c r="D26" s="238"/>
      <c r="E26" s="238">
        <v>5.4</v>
      </c>
      <c r="F26" s="238">
        <v>5.4</v>
      </c>
    </row>
    <row r="27" spans="1:8" x14ac:dyDescent="0.2">
      <c r="E27" s="268">
        <f>E26-E25</f>
        <v>0</v>
      </c>
      <c r="F27" s="268">
        <f>F26-F25</f>
        <v>0</v>
      </c>
    </row>
  </sheetData>
  <mergeCells count="22">
    <mergeCell ref="C6:F6"/>
    <mergeCell ref="C1:F1"/>
    <mergeCell ref="C2:F2"/>
    <mergeCell ref="C3:F3"/>
    <mergeCell ref="C4:F4"/>
    <mergeCell ref="C5:F5"/>
    <mergeCell ref="B7:F7"/>
    <mergeCell ref="C8:F8"/>
    <mergeCell ref="A10:F10"/>
    <mergeCell ref="A11:F13"/>
    <mergeCell ref="A16:A18"/>
    <mergeCell ref="B16:D18"/>
    <mergeCell ref="E16:F16"/>
    <mergeCell ref="E17:E18"/>
    <mergeCell ref="F17:F18"/>
    <mergeCell ref="A25:D25"/>
    <mergeCell ref="B19:D19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1"/>
  <sheetViews>
    <sheetView view="pageBreakPreview" zoomScale="60" zoomScaleNormal="100" workbookViewId="0">
      <selection activeCell="D22" sqref="D22"/>
    </sheetView>
  </sheetViews>
  <sheetFormatPr defaultRowHeight="12.75" x14ac:dyDescent="0.2"/>
  <cols>
    <col min="1" max="1" width="4.7109375" style="238" customWidth="1"/>
    <col min="2" max="2" width="31.85546875" style="238" customWidth="1"/>
    <col min="3" max="3" width="18.7109375" style="238" customWidth="1"/>
    <col min="4" max="4" width="14.5703125" style="238" customWidth="1"/>
    <col min="5" max="5" width="15.5703125" style="238" customWidth="1"/>
    <col min="6" max="256" width="9.140625" style="238"/>
    <col min="257" max="257" width="4.7109375" style="238" customWidth="1"/>
    <col min="258" max="258" width="31.85546875" style="238" customWidth="1"/>
    <col min="259" max="259" width="18.7109375" style="238" customWidth="1"/>
    <col min="260" max="260" width="14.5703125" style="238" customWidth="1"/>
    <col min="261" max="261" width="15.5703125" style="238" customWidth="1"/>
    <col min="262" max="512" width="9.140625" style="238"/>
    <col min="513" max="513" width="4.7109375" style="238" customWidth="1"/>
    <col min="514" max="514" width="31.85546875" style="238" customWidth="1"/>
    <col min="515" max="515" width="18.7109375" style="238" customWidth="1"/>
    <col min="516" max="516" width="14.5703125" style="238" customWidth="1"/>
    <col min="517" max="517" width="15.5703125" style="238" customWidth="1"/>
    <col min="518" max="768" width="9.140625" style="238"/>
    <col min="769" max="769" width="4.7109375" style="238" customWidth="1"/>
    <col min="770" max="770" width="31.85546875" style="238" customWidth="1"/>
    <col min="771" max="771" width="18.7109375" style="238" customWidth="1"/>
    <col min="772" max="772" width="14.5703125" style="238" customWidth="1"/>
    <col min="773" max="773" width="15.5703125" style="238" customWidth="1"/>
    <col min="774" max="1024" width="9.140625" style="238"/>
    <col min="1025" max="1025" width="4.7109375" style="238" customWidth="1"/>
    <col min="1026" max="1026" width="31.85546875" style="238" customWidth="1"/>
    <col min="1027" max="1027" width="18.7109375" style="238" customWidth="1"/>
    <col min="1028" max="1028" width="14.5703125" style="238" customWidth="1"/>
    <col min="1029" max="1029" width="15.5703125" style="238" customWidth="1"/>
    <col min="1030" max="1280" width="9.140625" style="238"/>
    <col min="1281" max="1281" width="4.7109375" style="238" customWidth="1"/>
    <col min="1282" max="1282" width="31.85546875" style="238" customWidth="1"/>
    <col min="1283" max="1283" width="18.7109375" style="238" customWidth="1"/>
    <col min="1284" max="1284" width="14.5703125" style="238" customWidth="1"/>
    <col min="1285" max="1285" width="15.5703125" style="238" customWidth="1"/>
    <col min="1286" max="1536" width="9.140625" style="238"/>
    <col min="1537" max="1537" width="4.7109375" style="238" customWidth="1"/>
    <col min="1538" max="1538" width="31.85546875" style="238" customWidth="1"/>
    <col min="1539" max="1539" width="18.7109375" style="238" customWidth="1"/>
    <col min="1540" max="1540" width="14.5703125" style="238" customWidth="1"/>
    <col min="1541" max="1541" width="15.5703125" style="238" customWidth="1"/>
    <col min="1542" max="1792" width="9.140625" style="238"/>
    <col min="1793" max="1793" width="4.7109375" style="238" customWidth="1"/>
    <col min="1794" max="1794" width="31.85546875" style="238" customWidth="1"/>
    <col min="1795" max="1795" width="18.7109375" style="238" customWidth="1"/>
    <col min="1796" max="1796" width="14.5703125" style="238" customWidth="1"/>
    <col min="1797" max="1797" width="15.5703125" style="238" customWidth="1"/>
    <col min="1798" max="2048" width="9.140625" style="238"/>
    <col min="2049" max="2049" width="4.7109375" style="238" customWidth="1"/>
    <col min="2050" max="2050" width="31.85546875" style="238" customWidth="1"/>
    <col min="2051" max="2051" width="18.7109375" style="238" customWidth="1"/>
    <col min="2052" max="2052" width="14.5703125" style="238" customWidth="1"/>
    <col min="2053" max="2053" width="15.5703125" style="238" customWidth="1"/>
    <col min="2054" max="2304" width="9.140625" style="238"/>
    <col min="2305" max="2305" width="4.7109375" style="238" customWidth="1"/>
    <col min="2306" max="2306" width="31.85546875" style="238" customWidth="1"/>
    <col min="2307" max="2307" width="18.7109375" style="238" customWidth="1"/>
    <col min="2308" max="2308" width="14.5703125" style="238" customWidth="1"/>
    <col min="2309" max="2309" width="15.5703125" style="238" customWidth="1"/>
    <col min="2310" max="2560" width="9.140625" style="238"/>
    <col min="2561" max="2561" width="4.7109375" style="238" customWidth="1"/>
    <col min="2562" max="2562" width="31.85546875" style="238" customWidth="1"/>
    <col min="2563" max="2563" width="18.7109375" style="238" customWidth="1"/>
    <col min="2564" max="2564" width="14.5703125" style="238" customWidth="1"/>
    <col min="2565" max="2565" width="15.5703125" style="238" customWidth="1"/>
    <col min="2566" max="2816" width="9.140625" style="238"/>
    <col min="2817" max="2817" width="4.7109375" style="238" customWidth="1"/>
    <col min="2818" max="2818" width="31.85546875" style="238" customWidth="1"/>
    <col min="2819" max="2819" width="18.7109375" style="238" customWidth="1"/>
    <col min="2820" max="2820" width="14.5703125" style="238" customWidth="1"/>
    <col min="2821" max="2821" width="15.5703125" style="238" customWidth="1"/>
    <col min="2822" max="3072" width="9.140625" style="238"/>
    <col min="3073" max="3073" width="4.7109375" style="238" customWidth="1"/>
    <col min="3074" max="3074" width="31.85546875" style="238" customWidth="1"/>
    <col min="3075" max="3075" width="18.7109375" style="238" customWidth="1"/>
    <col min="3076" max="3076" width="14.5703125" style="238" customWidth="1"/>
    <col min="3077" max="3077" width="15.5703125" style="238" customWidth="1"/>
    <col min="3078" max="3328" width="9.140625" style="238"/>
    <col min="3329" max="3329" width="4.7109375" style="238" customWidth="1"/>
    <col min="3330" max="3330" width="31.85546875" style="238" customWidth="1"/>
    <col min="3331" max="3331" width="18.7109375" style="238" customWidth="1"/>
    <col min="3332" max="3332" width="14.5703125" style="238" customWidth="1"/>
    <col min="3333" max="3333" width="15.5703125" style="238" customWidth="1"/>
    <col min="3334" max="3584" width="9.140625" style="238"/>
    <col min="3585" max="3585" width="4.7109375" style="238" customWidth="1"/>
    <col min="3586" max="3586" width="31.85546875" style="238" customWidth="1"/>
    <col min="3587" max="3587" width="18.7109375" style="238" customWidth="1"/>
    <col min="3588" max="3588" width="14.5703125" style="238" customWidth="1"/>
    <col min="3589" max="3589" width="15.5703125" style="238" customWidth="1"/>
    <col min="3590" max="3840" width="9.140625" style="238"/>
    <col min="3841" max="3841" width="4.7109375" style="238" customWidth="1"/>
    <col min="3842" max="3842" width="31.85546875" style="238" customWidth="1"/>
    <col min="3843" max="3843" width="18.7109375" style="238" customWidth="1"/>
    <col min="3844" max="3844" width="14.5703125" style="238" customWidth="1"/>
    <col min="3845" max="3845" width="15.5703125" style="238" customWidth="1"/>
    <col min="3846" max="4096" width="9.140625" style="238"/>
    <col min="4097" max="4097" width="4.7109375" style="238" customWidth="1"/>
    <col min="4098" max="4098" width="31.85546875" style="238" customWidth="1"/>
    <col min="4099" max="4099" width="18.7109375" style="238" customWidth="1"/>
    <col min="4100" max="4100" width="14.5703125" style="238" customWidth="1"/>
    <col min="4101" max="4101" width="15.5703125" style="238" customWidth="1"/>
    <col min="4102" max="4352" width="9.140625" style="238"/>
    <col min="4353" max="4353" width="4.7109375" style="238" customWidth="1"/>
    <col min="4354" max="4354" width="31.85546875" style="238" customWidth="1"/>
    <col min="4355" max="4355" width="18.7109375" style="238" customWidth="1"/>
    <col min="4356" max="4356" width="14.5703125" style="238" customWidth="1"/>
    <col min="4357" max="4357" width="15.5703125" style="238" customWidth="1"/>
    <col min="4358" max="4608" width="9.140625" style="238"/>
    <col min="4609" max="4609" width="4.7109375" style="238" customWidth="1"/>
    <col min="4610" max="4610" width="31.85546875" style="238" customWidth="1"/>
    <col min="4611" max="4611" width="18.7109375" style="238" customWidth="1"/>
    <col min="4612" max="4612" width="14.5703125" style="238" customWidth="1"/>
    <col min="4613" max="4613" width="15.5703125" style="238" customWidth="1"/>
    <col min="4614" max="4864" width="9.140625" style="238"/>
    <col min="4865" max="4865" width="4.7109375" style="238" customWidth="1"/>
    <col min="4866" max="4866" width="31.85546875" style="238" customWidth="1"/>
    <col min="4867" max="4867" width="18.7109375" style="238" customWidth="1"/>
    <col min="4868" max="4868" width="14.5703125" style="238" customWidth="1"/>
    <col min="4869" max="4869" width="15.5703125" style="238" customWidth="1"/>
    <col min="4870" max="5120" width="9.140625" style="238"/>
    <col min="5121" max="5121" width="4.7109375" style="238" customWidth="1"/>
    <col min="5122" max="5122" width="31.85546875" style="238" customWidth="1"/>
    <col min="5123" max="5123" width="18.7109375" style="238" customWidth="1"/>
    <col min="5124" max="5124" width="14.5703125" style="238" customWidth="1"/>
    <col min="5125" max="5125" width="15.5703125" style="238" customWidth="1"/>
    <col min="5126" max="5376" width="9.140625" style="238"/>
    <col min="5377" max="5377" width="4.7109375" style="238" customWidth="1"/>
    <col min="5378" max="5378" width="31.85546875" style="238" customWidth="1"/>
    <col min="5379" max="5379" width="18.7109375" style="238" customWidth="1"/>
    <col min="5380" max="5380" width="14.5703125" style="238" customWidth="1"/>
    <col min="5381" max="5381" width="15.5703125" style="238" customWidth="1"/>
    <col min="5382" max="5632" width="9.140625" style="238"/>
    <col min="5633" max="5633" width="4.7109375" style="238" customWidth="1"/>
    <col min="5634" max="5634" width="31.85546875" style="238" customWidth="1"/>
    <col min="5635" max="5635" width="18.7109375" style="238" customWidth="1"/>
    <col min="5636" max="5636" width="14.5703125" style="238" customWidth="1"/>
    <col min="5637" max="5637" width="15.5703125" style="238" customWidth="1"/>
    <col min="5638" max="5888" width="9.140625" style="238"/>
    <col min="5889" max="5889" width="4.7109375" style="238" customWidth="1"/>
    <col min="5890" max="5890" width="31.85546875" style="238" customWidth="1"/>
    <col min="5891" max="5891" width="18.7109375" style="238" customWidth="1"/>
    <col min="5892" max="5892" width="14.5703125" style="238" customWidth="1"/>
    <col min="5893" max="5893" width="15.5703125" style="238" customWidth="1"/>
    <col min="5894" max="6144" width="9.140625" style="238"/>
    <col min="6145" max="6145" width="4.7109375" style="238" customWidth="1"/>
    <col min="6146" max="6146" width="31.85546875" style="238" customWidth="1"/>
    <col min="6147" max="6147" width="18.7109375" style="238" customWidth="1"/>
    <col min="6148" max="6148" width="14.5703125" style="238" customWidth="1"/>
    <col min="6149" max="6149" width="15.5703125" style="238" customWidth="1"/>
    <col min="6150" max="6400" width="9.140625" style="238"/>
    <col min="6401" max="6401" width="4.7109375" style="238" customWidth="1"/>
    <col min="6402" max="6402" width="31.85546875" style="238" customWidth="1"/>
    <col min="6403" max="6403" width="18.7109375" style="238" customWidth="1"/>
    <col min="6404" max="6404" width="14.5703125" style="238" customWidth="1"/>
    <col min="6405" max="6405" width="15.5703125" style="238" customWidth="1"/>
    <col min="6406" max="6656" width="9.140625" style="238"/>
    <col min="6657" max="6657" width="4.7109375" style="238" customWidth="1"/>
    <col min="6658" max="6658" width="31.85546875" style="238" customWidth="1"/>
    <col min="6659" max="6659" width="18.7109375" style="238" customWidth="1"/>
    <col min="6660" max="6660" width="14.5703125" style="238" customWidth="1"/>
    <col min="6661" max="6661" width="15.5703125" style="238" customWidth="1"/>
    <col min="6662" max="6912" width="9.140625" style="238"/>
    <col min="6913" max="6913" width="4.7109375" style="238" customWidth="1"/>
    <col min="6914" max="6914" width="31.85546875" style="238" customWidth="1"/>
    <col min="6915" max="6915" width="18.7109375" style="238" customWidth="1"/>
    <col min="6916" max="6916" width="14.5703125" style="238" customWidth="1"/>
    <col min="6917" max="6917" width="15.5703125" style="238" customWidth="1"/>
    <col min="6918" max="7168" width="9.140625" style="238"/>
    <col min="7169" max="7169" width="4.7109375" style="238" customWidth="1"/>
    <col min="7170" max="7170" width="31.85546875" style="238" customWidth="1"/>
    <col min="7171" max="7171" width="18.7109375" style="238" customWidth="1"/>
    <col min="7172" max="7172" width="14.5703125" style="238" customWidth="1"/>
    <col min="7173" max="7173" width="15.5703125" style="238" customWidth="1"/>
    <col min="7174" max="7424" width="9.140625" style="238"/>
    <col min="7425" max="7425" width="4.7109375" style="238" customWidth="1"/>
    <col min="7426" max="7426" width="31.85546875" style="238" customWidth="1"/>
    <col min="7427" max="7427" width="18.7109375" style="238" customWidth="1"/>
    <col min="7428" max="7428" width="14.5703125" style="238" customWidth="1"/>
    <col min="7429" max="7429" width="15.5703125" style="238" customWidth="1"/>
    <col min="7430" max="7680" width="9.140625" style="238"/>
    <col min="7681" max="7681" width="4.7109375" style="238" customWidth="1"/>
    <col min="7682" max="7682" width="31.85546875" style="238" customWidth="1"/>
    <col min="7683" max="7683" width="18.7109375" style="238" customWidth="1"/>
    <col min="7684" max="7684" width="14.5703125" style="238" customWidth="1"/>
    <col min="7685" max="7685" width="15.5703125" style="238" customWidth="1"/>
    <col min="7686" max="7936" width="9.140625" style="238"/>
    <col min="7937" max="7937" width="4.7109375" style="238" customWidth="1"/>
    <col min="7938" max="7938" width="31.85546875" style="238" customWidth="1"/>
    <col min="7939" max="7939" width="18.7109375" style="238" customWidth="1"/>
    <col min="7940" max="7940" width="14.5703125" style="238" customWidth="1"/>
    <col min="7941" max="7941" width="15.5703125" style="238" customWidth="1"/>
    <col min="7942" max="8192" width="9.140625" style="238"/>
    <col min="8193" max="8193" width="4.7109375" style="238" customWidth="1"/>
    <col min="8194" max="8194" width="31.85546875" style="238" customWidth="1"/>
    <col min="8195" max="8195" width="18.7109375" style="238" customWidth="1"/>
    <col min="8196" max="8196" width="14.5703125" style="238" customWidth="1"/>
    <col min="8197" max="8197" width="15.5703125" style="238" customWidth="1"/>
    <col min="8198" max="8448" width="9.140625" style="238"/>
    <col min="8449" max="8449" width="4.7109375" style="238" customWidth="1"/>
    <col min="8450" max="8450" width="31.85546875" style="238" customWidth="1"/>
    <col min="8451" max="8451" width="18.7109375" style="238" customWidth="1"/>
    <col min="8452" max="8452" width="14.5703125" style="238" customWidth="1"/>
    <col min="8453" max="8453" width="15.5703125" style="238" customWidth="1"/>
    <col min="8454" max="8704" width="9.140625" style="238"/>
    <col min="8705" max="8705" width="4.7109375" style="238" customWidth="1"/>
    <col min="8706" max="8706" width="31.85546875" style="238" customWidth="1"/>
    <col min="8707" max="8707" width="18.7109375" style="238" customWidth="1"/>
    <col min="8708" max="8708" width="14.5703125" style="238" customWidth="1"/>
    <col min="8709" max="8709" width="15.5703125" style="238" customWidth="1"/>
    <col min="8710" max="8960" width="9.140625" style="238"/>
    <col min="8961" max="8961" width="4.7109375" style="238" customWidth="1"/>
    <col min="8962" max="8962" width="31.85546875" style="238" customWidth="1"/>
    <col min="8963" max="8963" width="18.7109375" style="238" customWidth="1"/>
    <col min="8964" max="8964" width="14.5703125" style="238" customWidth="1"/>
    <col min="8965" max="8965" width="15.5703125" style="238" customWidth="1"/>
    <col min="8966" max="9216" width="9.140625" style="238"/>
    <col min="9217" max="9217" width="4.7109375" style="238" customWidth="1"/>
    <col min="9218" max="9218" width="31.85546875" style="238" customWidth="1"/>
    <col min="9219" max="9219" width="18.7109375" style="238" customWidth="1"/>
    <col min="9220" max="9220" width="14.5703125" style="238" customWidth="1"/>
    <col min="9221" max="9221" width="15.5703125" style="238" customWidth="1"/>
    <col min="9222" max="9472" width="9.140625" style="238"/>
    <col min="9473" max="9473" width="4.7109375" style="238" customWidth="1"/>
    <col min="9474" max="9474" width="31.85546875" style="238" customWidth="1"/>
    <col min="9475" max="9475" width="18.7109375" style="238" customWidth="1"/>
    <col min="9476" max="9476" width="14.5703125" style="238" customWidth="1"/>
    <col min="9477" max="9477" width="15.5703125" style="238" customWidth="1"/>
    <col min="9478" max="9728" width="9.140625" style="238"/>
    <col min="9729" max="9729" width="4.7109375" style="238" customWidth="1"/>
    <col min="9730" max="9730" width="31.85546875" style="238" customWidth="1"/>
    <col min="9731" max="9731" width="18.7109375" style="238" customWidth="1"/>
    <col min="9732" max="9732" width="14.5703125" style="238" customWidth="1"/>
    <col min="9733" max="9733" width="15.5703125" style="238" customWidth="1"/>
    <col min="9734" max="9984" width="9.140625" style="238"/>
    <col min="9985" max="9985" width="4.7109375" style="238" customWidth="1"/>
    <col min="9986" max="9986" width="31.85546875" style="238" customWidth="1"/>
    <col min="9987" max="9987" width="18.7109375" style="238" customWidth="1"/>
    <col min="9988" max="9988" width="14.5703125" style="238" customWidth="1"/>
    <col min="9989" max="9989" width="15.5703125" style="238" customWidth="1"/>
    <col min="9990" max="10240" width="9.140625" style="238"/>
    <col min="10241" max="10241" width="4.7109375" style="238" customWidth="1"/>
    <col min="10242" max="10242" width="31.85546875" style="238" customWidth="1"/>
    <col min="10243" max="10243" width="18.7109375" style="238" customWidth="1"/>
    <col min="10244" max="10244" width="14.5703125" style="238" customWidth="1"/>
    <col min="10245" max="10245" width="15.5703125" style="238" customWidth="1"/>
    <col min="10246" max="10496" width="9.140625" style="238"/>
    <col min="10497" max="10497" width="4.7109375" style="238" customWidth="1"/>
    <col min="10498" max="10498" width="31.85546875" style="238" customWidth="1"/>
    <col min="10499" max="10499" width="18.7109375" style="238" customWidth="1"/>
    <col min="10500" max="10500" width="14.5703125" style="238" customWidth="1"/>
    <col min="10501" max="10501" width="15.5703125" style="238" customWidth="1"/>
    <col min="10502" max="10752" width="9.140625" style="238"/>
    <col min="10753" max="10753" width="4.7109375" style="238" customWidth="1"/>
    <col min="10754" max="10754" width="31.85546875" style="238" customWidth="1"/>
    <col min="10755" max="10755" width="18.7109375" style="238" customWidth="1"/>
    <col min="10756" max="10756" width="14.5703125" style="238" customWidth="1"/>
    <col min="10757" max="10757" width="15.5703125" style="238" customWidth="1"/>
    <col min="10758" max="11008" width="9.140625" style="238"/>
    <col min="11009" max="11009" width="4.7109375" style="238" customWidth="1"/>
    <col min="11010" max="11010" width="31.85546875" style="238" customWidth="1"/>
    <col min="11011" max="11011" width="18.7109375" style="238" customWidth="1"/>
    <col min="11012" max="11012" width="14.5703125" style="238" customWidth="1"/>
    <col min="11013" max="11013" width="15.5703125" style="238" customWidth="1"/>
    <col min="11014" max="11264" width="9.140625" style="238"/>
    <col min="11265" max="11265" width="4.7109375" style="238" customWidth="1"/>
    <col min="11266" max="11266" width="31.85546875" style="238" customWidth="1"/>
    <col min="11267" max="11267" width="18.7109375" style="238" customWidth="1"/>
    <col min="11268" max="11268" width="14.5703125" style="238" customWidth="1"/>
    <col min="11269" max="11269" width="15.5703125" style="238" customWidth="1"/>
    <col min="11270" max="11520" width="9.140625" style="238"/>
    <col min="11521" max="11521" width="4.7109375" style="238" customWidth="1"/>
    <col min="11522" max="11522" width="31.85546875" style="238" customWidth="1"/>
    <col min="11523" max="11523" width="18.7109375" style="238" customWidth="1"/>
    <col min="11524" max="11524" width="14.5703125" style="238" customWidth="1"/>
    <col min="11525" max="11525" width="15.5703125" style="238" customWidth="1"/>
    <col min="11526" max="11776" width="9.140625" style="238"/>
    <col min="11777" max="11777" width="4.7109375" style="238" customWidth="1"/>
    <col min="11778" max="11778" width="31.85546875" style="238" customWidth="1"/>
    <col min="11779" max="11779" width="18.7109375" style="238" customWidth="1"/>
    <col min="11780" max="11780" width="14.5703125" style="238" customWidth="1"/>
    <col min="11781" max="11781" width="15.5703125" style="238" customWidth="1"/>
    <col min="11782" max="12032" width="9.140625" style="238"/>
    <col min="12033" max="12033" width="4.7109375" style="238" customWidth="1"/>
    <col min="12034" max="12034" width="31.85546875" style="238" customWidth="1"/>
    <col min="12035" max="12035" width="18.7109375" style="238" customWidth="1"/>
    <col min="12036" max="12036" width="14.5703125" style="238" customWidth="1"/>
    <col min="12037" max="12037" width="15.5703125" style="238" customWidth="1"/>
    <col min="12038" max="12288" width="9.140625" style="238"/>
    <col min="12289" max="12289" width="4.7109375" style="238" customWidth="1"/>
    <col min="12290" max="12290" width="31.85546875" style="238" customWidth="1"/>
    <col min="12291" max="12291" width="18.7109375" style="238" customWidth="1"/>
    <col min="12292" max="12292" width="14.5703125" style="238" customWidth="1"/>
    <col min="12293" max="12293" width="15.5703125" style="238" customWidth="1"/>
    <col min="12294" max="12544" width="9.140625" style="238"/>
    <col min="12545" max="12545" width="4.7109375" style="238" customWidth="1"/>
    <col min="12546" max="12546" width="31.85546875" style="238" customWidth="1"/>
    <col min="12547" max="12547" width="18.7109375" style="238" customWidth="1"/>
    <col min="12548" max="12548" width="14.5703125" style="238" customWidth="1"/>
    <col min="12549" max="12549" width="15.5703125" style="238" customWidth="1"/>
    <col min="12550" max="12800" width="9.140625" style="238"/>
    <col min="12801" max="12801" width="4.7109375" style="238" customWidth="1"/>
    <col min="12802" max="12802" width="31.85546875" style="238" customWidth="1"/>
    <col min="12803" max="12803" width="18.7109375" style="238" customWidth="1"/>
    <col min="12804" max="12804" width="14.5703125" style="238" customWidth="1"/>
    <col min="12805" max="12805" width="15.5703125" style="238" customWidth="1"/>
    <col min="12806" max="13056" width="9.140625" style="238"/>
    <col min="13057" max="13057" width="4.7109375" style="238" customWidth="1"/>
    <col min="13058" max="13058" width="31.85546875" style="238" customWidth="1"/>
    <col min="13059" max="13059" width="18.7109375" style="238" customWidth="1"/>
    <col min="13060" max="13060" width="14.5703125" style="238" customWidth="1"/>
    <col min="13061" max="13061" width="15.5703125" style="238" customWidth="1"/>
    <col min="13062" max="13312" width="9.140625" style="238"/>
    <col min="13313" max="13313" width="4.7109375" style="238" customWidth="1"/>
    <col min="13314" max="13314" width="31.85546875" style="238" customWidth="1"/>
    <col min="13315" max="13315" width="18.7109375" style="238" customWidth="1"/>
    <col min="13316" max="13316" width="14.5703125" style="238" customWidth="1"/>
    <col min="13317" max="13317" width="15.5703125" style="238" customWidth="1"/>
    <col min="13318" max="13568" width="9.140625" style="238"/>
    <col min="13569" max="13569" width="4.7109375" style="238" customWidth="1"/>
    <col min="13570" max="13570" width="31.85546875" style="238" customWidth="1"/>
    <col min="13571" max="13571" width="18.7109375" style="238" customWidth="1"/>
    <col min="13572" max="13572" width="14.5703125" style="238" customWidth="1"/>
    <col min="13573" max="13573" width="15.5703125" style="238" customWidth="1"/>
    <col min="13574" max="13824" width="9.140625" style="238"/>
    <col min="13825" max="13825" width="4.7109375" style="238" customWidth="1"/>
    <col min="13826" max="13826" width="31.85546875" style="238" customWidth="1"/>
    <col min="13827" max="13827" width="18.7109375" style="238" customWidth="1"/>
    <col min="13828" max="13828" width="14.5703125" style="238" customWidth="1"/>
    <col min="13829" max="13829" width="15.5703125" style="238" customWidth="1"/>
    <col min="13830" max="14080" width="9.140625" style="238"/>
    <col min="14081" max="14081" width="4.7109375" style="238" customWidth="1"/>
    <col min="14082" max="14082" width="31.85546875" style="238" customWidth="1"/>
    <col min="14083" max="14083" width="18.7109375" style="238" customWidth="1"/>
    <col min="14084" max="14084" width="14.5703125" style="238" customWidth="1"/>
    <col min="14085" max="14085" width="15.5703125" style="238" customWidth="1"/>
    <col min="14086" max="14336" width="9.140625" style="238"/>
    <col min="14337" max="14337" width="4.7109375" style="238" customWidth="1"/>
    <col min="14338" max="14338" width="31.85546875" style="238" customWidth="1"/>
    <col min="14339" max="14339" width="18.7109375" style="238" customWidth="1"/>
    <col min="14340" max="14340" width="14.5703125" style="238" customWidth="1"/>
    <col min="14341" max="14341" width="15.5703125" style="238" customWidth="1"/>
    <col min="14342" max="14592" width="9.140625" style="238"/>
    <col min="14593" max="14593" width="4.7109375" style="238" customWidth="1"/>
    <col min="14594" max="14594" width="31.85546875" style="238" customWidth="1"/>
    <col min="14595" max="14595" width="18.7109375" style="238" customWidth="1"/>
    <col min="14596" max="14596" width="14.5703125" style="238" customWidth="1"/>
    <col min="14597" max="14597" width="15.5703125" style="238" customWidth="1"/>
    <col min="14598" max="14848" width="9.140625" style="238"/>
    <col min="14849" max="14849" width="4.7109375" style="238" customWidth="1"/>
    <col min="14850" max="14850" width="31.85546875" style="238" customWidth="1"/>
    <col min="14851" max="14851" width="18.7109375" style="238" customWidth="1"/>
    <col min="14852" max="14852" width="14.5703125" style="238" customWidth="1"/>
    <col min="14853" max="14853" width="15.5703125" style="238" customWidth="1"/>
    <col min="14854" max="15104" width="9.140625" style="238"/>
    <col min="15105" max="15105" width="4.7109375" style="238" customWidth="1"/>
    <col min="15106" max="15106" width="31.85546875" style="238" customWidth="1"/>
    <col min="15107" max="15107" width="18.7109375" style="238" customWidth="1"/>
    <col min="15108" max="15108" width="14.5703125" style="238" customWidth="1"/>
    <col min="15109" max="15109" width="15.5703125" style="238" customWidth="1"/>
    <col min="15110" max="15360" width="9.140625" style="238"/>
    <col min="15361" max="15361" width="4.7109375" style="238" customWidth="1"/>
    <col min="15362" max="15362" width="31.85546875" style="238" customWidth="1"/>
    <col min="15363" max="15363" width="18.7109375" style="238" customWidth="1"/>
    <col min="15364" max="15364" width="14.5703125" style="238" customWidth="1"/>
    <col min="15365" max="15365" width="15.5703125" style="238" customWidth="1"/>
    <col min="15366" max="15616" width="9.140625" style="238"/>
    <col min="15617" max="15617" width="4.7109375" style="238" customWidth="1"/>
    <col min="15618" max="15618" width="31.85546875" style="238" customWidth="1"/>
    <col min="15619" max="15619" width="18.7109375" style="238" customWidth="1"/>
    <col min="15620" max="15620" width="14.5703125" style="238" customWidth="1"/>
    <col min="15621" max="15621" width="15.5703125" style="238" customWidth="1"/>
    <col min="15622" max="15872" width="9.140625" style="238"/>
    <col min="15873" max="15873" width="4.7109375" style="238" customWidth="1"/>
    <col min="15874" max="15874" width="31.85546875" style="238" customWidth="1"/>
    <col min="15875" max="15875" width="18.7109375" style="238" customWidth="1"/>
    <col min="15876" max="15876" width="14.5703125" style="238" customWidth="1"/>
    <col min="15877" max="15877" width="15.5703125" style="238" customWidth="1"/>
    <col min="15878" max="16128" width="9.140625" style="238"/>
    <col min="16129" max="16129" width="4.7109375" style="238" customWidth="1"/>
    <col min="16130" max="16130" width="31.85546875" style="238" customWidth="1"/>
    <col min="16131" max="16131" width="18.7109375" style="238" customWidth="1"/>
    <col min="16132" max="16132" width="14.5703125" style="238" customWidth="1"/>
    <col min="16133" max="16133" width="15.5703125" style="238" customWidth="1"/>
    <col min="16134" max="16384" width="9.140625" style="238"/>
  </cols>
  <sheetData>
    <row r="1" spans="1:5" x14ac:dyDescent="0.2">
      <c r="B1" s="239"/>
      <c r="C1" s="484" t="s">
        <v>595</v>
      </c>
      <c r="D1" s="484"/>
      <c r="E1" s="484"/>
    </row>
    <row r="2" spans="1:5" x14ac:dyDescent="0.2">
      <c r="B2" s="240"/>
      <c r="C2" s="436" t="s">
        <v>575</v>
      </c>
      <c r="D2" s="436"/>
      <c r="E2" s="436"/>
    </row>
    <row r="3" spans="1:5" x14ac:dyDescent="0.2">
      <c r="B3" s="240"/>
      <c r="C3" s="436" t="s">
        <v>576</v>
      </c>
      <c r="D3" s="436"/>
      <c r="E3" s="436"/>
    </row>
    <row r="4" spans="1:5" x14ac:dyDescent="0.2">
      <c r="B4" s="240"/>
      <c r="C4" s="436" t="s">
        <v>577</v>
      </c>
      <c r="D4" s="436"/>
      <c r="E4" s="436"/>
    </row>
    <row r="5" spans="1:5" x14ac:dyDescent="0.2">
      <c r="B5" s="240"/>
      <c r="C5" s="436" t="s">
        <v>596</v>
      </c>
      <c r="D5" s="436"/>
      <c r="E5" s="436"/>
    </row>
    <row r="6" spans="1:5" x14ac:dyDescent="0.2">
      <c r="B6" s="240"/>
      <c r="C6" s="436" t="s">
        <v>578</v>
      </c>
      <c r="D6" s="436"/>
      <c r="E6" s="436"/>
    </row>
    <row r="7" spans="1:5" x14ac:dyDescent="0.2">
      <c r="B7" s="240"/>
      <c r="C7" s="477" t="s">
        <v>577</v>
      </c>
      <c r="D7" s="477"/>
      <c r="E7" s="477"/>
    </row>
    <row r="8" spans="1:5" x14ac:dyDescent="0.2">
      <c r="B8" s="240"/>
      <c r="C8" s="436" t="s">
        <v>592</v>
      </c>
      <c r="D8" s="436"/>
      <c r="E8" s="436"/>
    </row>
    <row r="9" spans="1:5" x14ac:dyDescent="0.2">
      <c r="B9" s="240"/>
      <c r="C9" s="239"/>
      <c r="D9" s="239"/>
      <c r="E9" s="239"/>
    </row>
    <row r="10" spans="1:5" ht="41.25" customHeight="1" x14ac:dyDescent="0.2">
      <c r="A10" s="490" t="s">
        <v>626</v>
      </c>
      <c r="B10" s="490"/>
      <c r="C10" s="490"/>
      <c r="D10" s="490"/>
      <c r="E10" s="490"/>
    </row>
    <row r="11" spans="1:5" x14ac:dyDescent="0.2">
      <c r="A11" s="478"/>
      <c r="B11" s="478"/>
      <c r="C11" s="478"/>
      <c r="D11" s="483" t="s">
        <v>579</v>
      </c>
      <c r="E11" s="483"/>
    </row>
    <row r="12" spans="1:5" s="242" customFormat="1" ht="25.5" x14ac:dyDescent="0.2">
      <c r="A12" s="9" t="s">
        <v>512</v>
      </c>
      <c r="B12" s="480" t="s">
        <v>580</v>
      </c>
      <c r="C12" s="481"/>
      <c r="D12" s="516" t="s">
        <v>590</v>
      </c>
      <c r="E12" s="517"/>
    </row>
    <row r="13" spans="1:5" x14ac:dyDescent="0.2">
      <c r="A13" s="243">
        <v>1</v>
      </c>
      <c r="B13" s="485" t="s">
        <v>581</v>
      </c>
      <c r="C13" s="486"/>
      <c r="D13" s="485">
        <v>100.1</v>
      </c>
      <c r="E13" s="486"/>
    </row>
    <row r="14" spans="1:5" x14ac:dyDescent="0.2">
      <c r="A14" s="243">
        <v>2</v>
      </c>
      <c r="B14" s="485" t="s">
        <v>582</v>
      </c>
      <c r="C14" s="486"/>
      <c r="D14" s="485">
        <v>100.1</v>
      </c>
      <c r="E14" s="486"/>
    </row>
    <row r="15" spans="1:5" x14ac:dyDescent="0.2">
      <c r="A15" s="243">
        <v>3</v>
      </c>
      <c r="B15" s="485" t="s">
        <v>583</v>
      </c>
      <c r="C15" s="486"/>
      <c r="D15" s="485">
        <v>100.1</v>
      </c>
      <c r="E15" s="486"/>
    </row>
    <row r="16" spans="1:5" x14ac:dyDescent="0.2">
      <c r="A16" s="243">
        <v>4</v>
      </c>
      <c r="B16" s="485" t="s">
        <v>584</v>
      </c>
      <c r="C16" s="486"/>
      <c r="D16" s="485">
        <v>81.400000000000006</v>
      </c>
      <c r="E16" s="486"/>
    </row>
    <row r="17" spans="1:5" x14ac:dyDescent="0.2">
      <c r="A17" s="243">
        <v>5</v>
      </c>
      <c r="B17" s="485" t="s">
        <v>585</v>
      </c>
      <c r="C17" s="486"/>
      <c r="D17" s="485">
        <v>100.1</v>
      </c>
      <c r="E17" s="486"/>
    </row>
    <row r="18" spans="1:5" x14ac:dyDescent="0.2">
      <c r="A18" s="243">
        <v>6</v>
      </c>
      <c r="B18" s="485" t="s">
        <v>586</v>
      </c>
      <c r="C18" s="486"/>
      <c r="D18" s="485">
        <v>81.400000000000006</v>
      </c>
      <c r="E18" s="486"/>
    </row>
    <row r="19" spans="1:5" x14ac:dyDescent="0.2">
      <c r="A19" s="244"/>
      <c r="B19" s="487" t="s">
        <v>587</v>
      </c>
      <c r="C19" s="488"/>
      <c r="D19" s="487">
        <f>SUM(D13:D18)</f>
        <v>563.19999999999993</v>
      </c>
      <c r="E19" s="488"/>
    </row>
    <row r="20" spans="1:5" x14ac:dyDescent="0.2">
      <c r="D20" s="515">
        <v>563.20000000000005</v>
      </c>
      <c r="E20" s="515"/>
    </row>
    <row r="21" spans="1:5" x14ac:dyDescent="0.2">
      <c r="D21" s="515">
        <f>D20-D19</f>
        <v>0</v>
      </c>
      <c r="E21" s="515"/>
    </row>
  </sheetData>
  <mergeCells count="29">
    <mergeCell ref="B12:C12"/>
    <mergeCell ref="D12:E12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1:C11"/>
    <mergeCell ref="D11:E11"/>
    <mergeCell ref="B13:C13"/>
    <mergeCell ref="D13:E13"/>
    <mergeCell ref="B14:C14"/>
    <mergeCell ref="D14:E14"/>
    <mergeCell ref="B15:C15"/>
    <mergeCell ref="D15:E15"/>
    <mergeCell ref="B19:C19"/>
    <mergeCell ref="D19:E19"/>
    <mergeCell ref="D20:E20"/>
    <mergeCell ref="D21:E21"/>
    <mergeCell ref="B16:C16"/>
    <mergeCell ref="D16:E16"/>
    <mergeCell ref="B17:C17"/>
    <mergeCell ref="D17:E17"/>
    <mergeCell ref="B18:C18"/>
    <mergeCell ref="D18:E1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2"/>
  <sheetViews>
    <sheetView view="pageBreakPreview" zoomScale="60" zoomScaleNormal="100" workbookViewId="0">
      <selection activeCell="I19" sqref="I19"/>
    </sheetView>
  </sheetViews>
  <sheetFormatPr defaultRowHeight="12.75" x14ac:dyDescent="0.2"/>
  <cols>
    <col min="1" max="1" width="4.7109375" style="238" customWidth="1"/>
    <col min="2" max="2" width="31.85546875" style="238" customWidth="1"/>
    <col min="3" max="4" width="14.5703125" style="238" customWidth="1"/>
    <col min="5" max="5" width="11" style="238" customWidth="1"/>
    <col min="6" max="256" width="9.140625" style="238"/>
    <col min="257" max="257" width="4.7109375" style="238" customWidth="1"/>
    <col min="258" max="258" width="31.85546875" style="238" customWidth="1"/>
    <col min="259" max="260" width="14.5703125" style="238" customWidth="1"/>
    <col min="261" max="261" width="11" style="238" customWidth="1"/>
    <col min="262" max="512" width="9.140625" style="238"/>
    <col min="513" max="513" width="4.7109375" style="238" customWidth="1"/>
    <col min="514" max="514" width="31.85546875" style="238" customWidth="1"/>
    <col min="515" max="516" width="14.5703125" style="238" customWidth="1"/>
    <col min="517" max="517" width="11" style="238" customWidth="1"/>
    <col min="518" max="768" width="9.140625" style="238"/>
    <col min="769" max="769" width="4.7109375" style="238" customWidth="1"/>
    <col min="770" max="770" width="31.85546875" style="238" customWidth="1"/>
    <col min="771" max="772" width="14.5703125" style="238" customWidth="1"/>
    <col min="773" max="773" width="11" style="238" customWidth="1"/>
    <col min="774" max="1024" width="9.140625" style="238"/>
    <col min="1025" max="1025" width="4.7109375" style="238" customWidth="1"/>
    <col min="1026" max="1026" width="31.85546875" style="238" customWidth="1"/>
    <col min="1027" max="1028" width="14.5703125" style="238" customWidth="1"/>
    <col min="1029" max="1029" width="11" style="238" customWidth="1"/>
    <col min="1030" max="1280" width="9.140625" style="238"/>
    <col min="1281" max="1281" width="4.7109375" style="238" customWidth="1"/>
    <col min="1282" max="1282" width="31.85546875" style="238" customWidth="1"/>
    <col min="1283" max="1284" width="14.5703125" style="238" customWidth="1"/>
    <col min="1285" max="1285" width="11" style="238" customWidth="1"/>
    <col min="1286" max="1536" width="9.140625" style="238"/>
    <col min="1537" max="1537" width="4.7109375" style="238" customWidth="1"/>
    <col min="1538" max="1538" width="31.85546875" style="238" customWidth="1"/>
    <col min="1539" max="1540" width="14.5703125" style="238" customWidth="1"/>
    <col min="1541" max="1541" width="11" style="238" customWidth="1"/>
    <col min="1542" max="1792" width="9.140625" style="238"/>
    <col min="1793" max="1793" width="4.7109375" style="238" customWidth="1"/>
    <col min="1794" max="1794" width="31.85546875" style="238" customWidth="1"/>
    <col min="1795" max="1796" width="14.5703125" style="238" customWidth="1"/>
    <col min="1797" max="1797" width="11" style="238" customWidth="1"/>
    <col min="1798" max="2048" width="9.140625" style="238"/>
    <col min="2049" max="2049" width="4.7109375" style="238" customWidth="1"/>
    <col min="2050" max="2050" width="31.85546875" style="238" customWidth="1"/>
    <col min="2051" max="2052" width="14.5703125" style="238" customWidth="1"/>
    <col min="2053" max="2053" width="11" style="238" customWidth="1"/>
    <col min="2054" max="2304" width="9.140625" style="238"/>
    <col min="2305" max="2305" width="4.7109375" style="238" customWidth="1"/>
    <col min="2306" max="2306" width="31.85546875" style="238" customWidth="1"/>
    <col min="2307" max="2308" width="14.5703125" style="238" customWidth="1"/>
    <col min="2309" max="2309" width="11" style="238" customWidth="1"/>
    <col min="2310" max="2560" width="9.140625" style="238"/>
    <col min="2561" max="2561" width="4.7109375" style="238" customWidth="1"/>
    <col min="2562" max="2562" width="31.85546875" style="238" customWidth="1"/>
    <col min="2563" max="2564" width="14.5703125" style="238" customWidth="1"/>
    <col min="2565" max="2565" width="11" style="238" customWidth="1"/>
    <col min="2566" max="2816" width="9.140625" style="238"/>
    <col min="2817" max="2817" width="4.7109375" style="238" customWidth="1"/>
    <col min="2818" max="2818" width="31.85546875" style="238" customWidth="1"/>
    <col min="2819" max="2820" width="14.5703125" style="238" customWidth="1"/>
    <col min="2821" max="2821" width="11" style="238" customWidth="1"/>
    <col min="2822" max="3072" width="9.140625" style="238"/>
    <col min="3073" max="3073" width="4.7109375" style="238" customWidth="1"/>
    <col min="3074" max="3074" width="31.85546875" style="238" customWidth="1"/>
    <col min="3075" max="3076" width="14.5703125" style="238" customWidth="1"/>
    <col min="3077" max="3077" width="11" style="238" customWidth="1"/>
    <col min="3078" max="3328" width="9.140625" style="238"/>
    <col min="3329" max="3329" width="4.7109375" style="238" customWidth="1"/>
    <col min="3330" max="3330" width="31.85546875" style="238" customWidth="1"/>
    <col min="3331" max="3332" width="14.5703125" style="238" customWidth="1"/>
    <col min="3333" max="3333" width="11" style="238" customWidth="1"/>
    <col min="3334" max="3584" width="9.140625" style="238"/>
    <col min="3585" max="3585" width="4.7109375" style="238" customWidth="1"/>
    <col min="3586" max="3586" width="31.85546875" style="238" customWidth="1"/>
    <col min="3587" max="3588" width="14.5703125" style="238" customWidth="1"/>
    <col min="3589" max="3589" width="11" style="238" customWidth="1"/>
    <col min="3590" max="3840" width="9.140625" style="238"/>
    <col min="3841" max="3841" width="4.7109375" style="238" customWidth="1"/>
    <col min="3842" max="3842" width="31.85546875" style="238" customWidth="1"/>
    <col min="3843" max="3844" width="14.5703125" style="238" customWidth="1"/>
    <col min="3845" max="3845" width="11" style="238" customWidth="1"/>
    <col min="3846" max="4096" width="9.140625" style="238"/>
    <col min="4097" max="4097" width="4.7109375" style="238" customWidth="1"/>
    <col min="4098" max="4098" width="31.85546875" style="238" customWidth="1"/>
    <col min="4099" max="4100" width="14.5703125" style="238" customWidth="1"/>
    <col min="4101" max="4101" width="11" style="238" customWidth="1"/>
    <col min="4102" max="4352" width="9.140625" style="238"/>
    <col min="4353" max="4353" width="4.7109375" style="238" customWidth="1"/>
    <col min="4354" max="4354" width="31.85546875" style="238" customWidth="1"/>
    <col min="4355" max="4356" width="14.5703125" style="238" customWidth="1"/>
    <col min="4357" max="4357" width="11" style="238" customWidth="1"/>
    <col min="4358" max="4608" width="9.140625" style="238"/>
    <col min="4609" max="4609" width="4.7109375" style="238" customWidth="1"/>
    <col min="4610" max="4610" width="31.85546875" style="238" customWidth="1"/>
    <col min="4611" max="4612" width="14.5703125" style="238" customWidth="1"/>
    <col min="4613" max="4613" width="11" style="238" customWidth="1"/>
    <col min="4614" max="4864" width="9.140625" style="238"/>
    <col min="4865" max="4865" width="4.7109375" style="238" customWidth="1"/>
    <col min="4866" max="4866" width="31.85546875" style="238" customWidth="1"/>
    <col min="4867" max="4868" width="14.5703125" style="238" customWidth="1"/>
    <col min="4869" max="4869" width="11" style="238" customWidth="1"/>
    <col min="4870" max="5120" width="9.140625" style="238"/>
    <col min="5121" max="5121" width="4.7109375" style="238" customWidth="1"/>
    <col min="5122" max="5122" width="31.85546875" style="238" customWidth="1"/>
    <col min="5123" max="5124" width="14.5703125" style="238" customWidth="1"/>
    <col min="5125" max="5125" width="11" style="238" customWidth="1"/>
    <col min="5126" max="5376" width="9.140625" style="238"/>
    <col min="5377" max="5377" width="4.7109375" style="238" customWidth="1"/>
    <col min="5378" max="5378" width="31.85546875" style="238" customWidth="1"/>
    <col min="5379" max="5380" width="14.5703125" style="238" customWidth="1"/>
    <col min="5381" max="5381" width="11" style="238" customWidth="1"/>
    <col min="5382" max="5632" width="9.140625" style="238"/>
    <col min="5633" max="5633" width="4.7109375" style="238" customWidth="1"/>
    <col min="5634" max="5634" width="31.85546875" style="238" customWidth="1"/>
    <col min="5635" max="5636" width="14.5703125" style="238" customWidth="1"/>
    <col min="5637" max="5637" width="11" style="238" customWidth="1"/>
    <col min="5638" max="5888" width="9.140625" style="238"/>
    <col min="5889" max="5889" width="4.7109375" style="238" customWidth="1"/>
    <col min="5890" max="5890" width="31.85546875" style="238" customWidth="1"/>
    <col min="5891" max="5892" width="14.5703125" style="238" customWidth="1"/>
    <col min="5893" max="5893" width="11" style="238" customWidth="1"/>
    <col min="5894" max="6144" width="9.140625" style="238"/>
    <col min="6145" max="6145" width="4.7109375" style="238" customWidth="1"/>
    <col min="6146" max="6146" width="31.85546875" style="238" customWidth="1"/>
    <col min="6147" max="6148" width="14.5703125" style="238" customWidth="1"/>
    <col min="6149" max="6149" width="11" style="238" customWidth="1"/>
    <col min="6150" max="6400" width="9.140625" style="238"/>
    <col min="6401" max="6401" width="4.7109375" style="238" customWidth="1"/>
    <col min="6402" max="6402" width="31.85546875" style="238" customWidth="1"/>
    <col min="6403" max="6404" width="14.5703125" style="238" customWidth="1"/>
    <col min="6405" max="6405" width="11" style="238" customWidth="1"/>
    <col min="6406" max="6656" width="9.140625" style="238"/>
    <col min="6657" max="6657" width="4.7109375" style="238" customWidth="1"/>
    <col min="6658" max="6658" width="31.85546875" style="238" customWidth="1"/>
    <col min="6659" max="6660" width="14.5703125" style="238" customWidth="1"/>
    <col min="6661" max="6661" width="11" style="238" customWidth="1"/>
    <col min="6662" max="6912" width="9.140625" style="238"/>
    <col min="6913" max="6913" width="4.7109375" style="238" customWidth="1"/>
    <col min="6914" max="6914" width="31.85546875" style="238" customWidth="1"/>
    <col min="6915" max="6916" width="14.5703125" style="238" customWidth="1"/>
    <col min="6917" max="6917" width="11" style="238" customWidth="1"/>
    <col min="6918" max="7168" width="9.140625" style="238"/>
    <col min="7169" max="7169" width="4.7109375" style="238" customWidth="1"/>
    <col min="7170" max="7170" width="31.85546875" style="238" customWidth="1"/>
    <col min="7171" max="7172" width="14.5703125" style="238" customWidth="1"/>
    <col min="7173" max="7173" width="11" style="238" customWidth="1"/>
    <col min="7174" max="7424" width="9.140625" style="238"/>
    <col min="7425" max="7425" width="4.7109375" style="238" customWidth="1"/>
    <col min="7426" max="7426" width="31.85546875" style="238" customWidth="1"/>
    <col min="7427" max="7428" width="14.5703125" style="238" customWidth="1"/>
    <col min="7429" max="7429" width="11" style="238" customWidth="1"/>
    <col min="7430" max="7680" width="9.140625" style="238"/>
    <col min="7681" max="7681" width="4.7109375" style="238" customWidth="1"/>
    <col min="7682" max="7682" width="31.85546875" style="238" customWidth="1"/>
    <col min="7683" max="7684" width="14.5703125" style="238" customWidth="1"/>
    <col min="7685" max="7685" width="11" style="238" customWidth="1"/>
    <col min="7686" max="7936" width="9.140625" style="238"/>
    <col min="7937" max="7937" width="4.7109375" style="238" customWidth="1"/>
    <col min="7938" max="7938" width="31.85546875" style="238" customWidth="1"/>
    <col min="7939" max="7940" width="14.5703125" style="238" customWidth="1"/>
    <col min="7941" max="7941" width="11" style="238" customWidth="1"/>
    <col min="7942" max="8192" width="9.140625" style="238"/>
    <col min="8193" max="8193" width="4.7109375" style="238" customWidth="1"/>
    <col min="8194" max="8194" width="31.85546875" style="238" customWidth="1"/>
    <col min="8195" max="8196" width="14.5703125" style="238" customWidth="1"/>
    <col min="8197" max="8197" width="11" style="238" customWidth="1"/>
    <col min="8198" max="8448" width="9.140625" style="238"/>
    <col min="8449" max="8449" width="4.7109375" style="238" customWidth="1"/>
    <col min="8450" max="8450" width="31.85546875" style="238" customWidth="1"/>
    <col min="8451" max="8452" width="14.5703125" style="238" customWidth="1"/>
    <col min="8453" max="8453" width="11" style="238" customWidth="1"/>
    <col min="8454" max="8704" width="9.140625" style="238"/>
    <col min="8705" max="8705" width="4.7109375" style="238" customWidth="1"/>
    <col min="8706" max="8706" width="31.85546875" style="238" customWidth="1"/>
    <col min="8707" max="8708" width="14.5703125" style="238" customWidth="1"/>
    <col min="8709" max="8709" width="11" style="238" customWidth="1"/>
    <col min="8710" max="8960" width="9.140625" style="238"/>
    <col min="8961" max="8961" width="4.7109375" style="238" customWidth="1"/>
    <col min="8962" max="8962" width="31.85546875" style="238" customWidth="1"/>
    <col min="8963" max="8964" width="14.5703125" style="238" customWidth="1"/>
    <col min="8965" max="8965" width="11" style="238" customWidth="1"/>
    <col min="8966" max="9216" width="9.140625" style="238"/>
    <col min="9217" max="9217" width="4.7109375" style="238" customWidth="1"/>
    <col min="9218" max="9218" width="31.85546875" style="238" customWidth="1"/>
    <col min="9219" max="9220" width="14.5703125" style="238" customWidth="1"/>
    <col min="9221" max="9221" width="11" style="238" customWidth="1"/>
    <col min="9222" max="9472" width="9.140625" style="238"/>
    <col min="9473" max="9473" width="4.7109375" style="238" customWidth="1"/>
    <col min="9474" max="9474" width="31.85546875" style="238" customWidth="1"/>
    <col min="9475" max="9476" width="14.5703125" style="238" customWidth="1"/>
    <col min="9477" max="9477" width="11" style="238" customWidth="1"/>
    <col min="9478" max="9728" width="9.140625" style="238"/>
    <col min="9729" max="9729" width="4.7109375" style="238" customWidth="1"/>
    <col min="9730" max="9730" width="31.85546875" style="238" customWidth="1"/>
    <col min="9731" max="9732" width="14.5703125" style="238" customWidth="1"/>
    <col min="9733" max="9733" width="11" style="238" customWidth="1"/>
    <col min="9734" max="9984" width="9.140625" style="238"/>
    <col min="9985" max="9985" width="4.7109375" style="238" customWidth="1"/>
    <col min="9986" max="9986" width="31.85546875" style="238" customWidth="1"/>
    <col min="9987" max="9988" width="14.5703125" style="238" customWidth="1"/>
    <col min="9989" max="9989" width="11" style="238" customWidth="1"/>
    <col min="9990" max="10240" width="9.140625" style="238"/>
    <col min="10241" max="10241" width="4.7109375" style="238" customWidth="1"/>
    <col min="10242" max="10242" width="31.85546875" style="238" customWidth="1"/>
    <col min="10243" max="10244" width="14.5703125" style="238" customWidth="1"/>
    <col min="10245" max="10245" width="11" style="238" customWidth="1"/>
    <col min="10246" max="10496" width="9.140625" style="238"/>
    <col min="10497" max="10497" width="4.7109375" style="238" customWidth="1"/>
    <col min="10498" max="10498" width="31.85546875" style="238" customWidth="1"/>
    <col min="10499" max="10500" width="14.5703125" style="238" customWidth="1"/>
    <col min="10501" max="10501" width="11" style="238" customWidth="1"/>
    <col min="10502" max="10752" width="9.140625" style="238"/>
    <col min="10753" max="10753" width="4.7109375" style="238" customWidth="1"/>
    <col min="10754" max="10754" width="31.85546875" style="238" customWidth="1"/>
    <col min="10755" max="10756" width="14.5703125" style="238" customWidth="1"/>
    <col min="10757" max="10757" width="11" style="238" customWidth="1"/>
    <col min="10758" max="11008" width="9.140625" style="238"/>
    <col min="11009" max="11009" width="4.7109375" style="238" customWidth="1"/>
    <col min="11010" max="11010" width="31.85546875" style="238" customWidth="1"/>
    <col min="11011" max="11012" width="14.5703125" style="238" customWidth="1"/>
    <col min="11013" max="11013" width="11" style="238" customWidth="1"/>
    <col min="11014" max="11264" width="9.140625" style="238"/>
    <col min="11265" max="11265" width="4.7109375" style="238" customWidth="1"/>
    <col min="11266" max="11266" width="31.85546875" style="238" customWidth="1"/>
    <col min="11267" max="11268" width="14.5703125" style="238" customWidth="1"/>
    <col min="11269" max="11269" width="11" style="238" customWidth="1"/>
    <col min="11270" max="11520" width="9.140625" style="238"/>
    <col min="11521" max="11521" width="4.7109375" style="238" customWidth="1"/>
    <col min="11522" max="11522" width="31.85546875" style="238" customWidth="1"/>
    <col min="11523" max="11524" width="14.5703125" style="238" customWidth="1"/>
    <col min="11525" max="11525" width="11" style="238" customWidth="1"/>
    <col min="11526" max="11776" width="9.140625" style="238"/>
    <col min="11777" max="11777" width="4.7109375" style="238" customWidth="1"/>
    <col min="11778" max="11778" width="31.85546875" style="238" customWidth="1"/>
    <col min="11779" max="11780" width="14.5703125" style="238" customWidth="1"/>
    <col min="11781" max="11781" width="11" style="238" customWidth="1"/>
    <col min="11782" max="12032" width="9.140625" style="238"/>
    <col min="12033" max="12033" width="4.7109375" style="238" customWidth="1"/>
    <col min="12034" max="12034" width="31.85546875" style="238" customWidth="1"/>
    <col min="12035" max="12036" width="14.5703125" style="238" customWidth="1"/>
    <col min="12037" max="12037" width="11" style="238" customWidth="1"/>
    <col min="12038" max="12288" width="9.140625" style="238"/>
    <col min="12289" max="12289" width="4.7109375" style="238" customWidth="1"/>
    <col min="12290" max="12290" width="31.85546875" style="238" customWidth="1"/>
    <col min="12291" max="12292" width="14.5703125" style="238" customWidth="1"/>
    <col min="12293" max="12293" width="11" style="238" customWidth="1"/>
    <col min="12294" max="12544" width="9.140625" style="238"/>
    <col min="12545" max="12545" width="4.7109375" style="238" customWidth="1"/>
    <col min="12546" max="12546" width="31.85546875" style="238" customWidth="1"/>
    <col min="12547" max="12548" width="14.5703125" style="238" customWidth="1"/>
    <col min="12549" max="12549" width="11" style="238" customWidth="1"/>
    <col min="12550" max="12800" width="9.140625" style="238"/>
    <col min="12801" max="12801" width="4.7109375" style="238" customWidth="1"/>
    <col min="12802" max="12802" width="31.85546875" style="238" customWidth="1"/>
    <col min="12803" max="12804" width="14.5703125" style="238" customWidth="1"/>
    <col min="12805" max="12805" width="11" style="238" customWidth="1"/>
    <col min="12806" max="13056" width="9.140625" style="238"/>
    <col min="13057" max="13057" width="4.7109375" style="238" customWidth="1"/>
    <col min="13058" max="13058" width="31.85546875" style="238" customWidth="1"/>
    <col min="13059" max="13060" width="14.5703125" style="238" customWidth="1"/>
    <col min="13061" max="13061" width="11" style="238" customWidth="1"/>
    <col min="13062" max="13312" width="9.140625" style="238"/>
    <col min="13313" max="13313" width="4.7109375" style="238" customWidth="1"/>
    <col min="13314" max="13314" width="31.85546875" style="238" customWidth="1"/>
    <col min="13315" max="13316" width="14.5703125" style="238" customWidth="1"/>
    <col min="13317" max="13317" width="11" style="238" customWidth="1"/>
    <col min="13318" max="13568" width="9.140625" style="238"/>
    <col min="13569" max="13569" width="4.7109375" style="238" customWidth="1"/>
    <col min="13570" max="13570" width="31.85546875" style="238" customWidth="1"/>
    <col min="13571" max="13572" width="14.5703125" style="238" customWidth="1"/>
    <col min="13573" max="13573" width="11" style="238" customWidth="1"/>
    <col min="13574" max="13824" width="9.140625" style="238"/>
    <col min="13825" max="13825" width="4.7109375" style="238" customWidth="1"/>
    <col min="13826" max="13826" width="31.85546875" style="238" customWidth="1"/>
    <col min="13827" max="13828" width="14.5703125" style="238" customWidth="1"/>
    <col min="13829" max="13829" width="11" style="238" customWidth="1"/>
    <col min="13830" max="14080" width="9.140625" style="238"/>
    <col min="14081" max="14081" width="4.7109375" style="238" customWidth="1"/>
    <col min="14082" max="14082" width="31.85546875" style="238" customWidth="1"/>
    <col min="14083" max="14084" width="14.5703125" style="238" customWidth="1"/>
    <col min="14085" max="14085" width="11" style="238" customWidth="1"/>
    <col min="14086" max="14336" width="9.140625" style="238"/>
    <col min="14337" max="14337" width="4.7109375" style="238" customWidth="1"/>
    <col min="14338" max="14338" width="31.85546875" style="238" customWidth="1"/>
    <col min="14339" max="14340" width="14.5703125" style="238" customWidth="1"/>
    <col min="14341" max="14341" width="11" style="238" customWidth="1"/>
    <col min="14342" max="14592" width="9.140625" style="238"/>
    <col min="14593" max="14593" width="4.7109375" style="238" customWidth="1"/>
    <col min="14594" max="14594" width="31.85546875" style="238" customWidth="1"/>
    <col min="14595" max="14596" width="14.5703125" style="238" customWidth="1"/>
    <col min="14597" max="14597" width="11" style="238" customWidth="1"/>
    <col min="14598" max="14848" width="9.140625" style="238"/>
    <col min="14849" max="14849" width="4.7109375" style="238" customWidth="1"/>
    <col min="14850" max="14850" width="31.85546875" style="238" customWidth="1"/>
    <col min="14851" max="14852" width="14.5703125" style="238" customWidth="1"/>
    <col min="14853" max="14853" width="11" style="238" customWidth="1"/>
    <col min="14854" max="15104" width="9.140625" style="238"/>
    <col min="15105" max="15105" width="4.7109375" style="238" customWidth="1"/>
    <col min="15106" max="15106" width="31.85546875" style="238" customWidth="1"/>
    <col min="15107" max="15108" width="14.5703125" style="238" customWidth="1"/>
    <col min="15109" max="15109" width="11" style="238" customWidth="1"/>
    <col min="15110" max="15360" width="9.140625" style="238"/>
    <col min="15361" max="15361" width="4.7109375" style="238" customWidth="1"/>
    <col min="15362" max="15362" width="31.85546875" style="238" customWidth="1"/>
    <col min="15363" max="15364" width="14.5703125" style="238" customWidth="1"/>
    <col min="15365" max="15365" width="11" style="238" customWidth="1"/>
    <col min="15366" max="15616" width="9.140625" style="238"/>
    <col min="15617" max="15617" width="4.7109375" style="238" customWidth="1"/>
    <col min="15618" max="15618" width="31.85546875" style="238" customWidth="1"/>
    <col min="15619" max="15620" width="14.5703125" style="238" customWidth="1"/>
    <col min="15621" max="15621" width="11" style="238" customWidth="1"/>
    <col min="15622" max="15872" width="9.140625" style="238"/>
    <col min="15873" max="15873" width="4.7109375" style="238" customWidth="1"/>
    <col min="15874" max="15874" width="31.85546875" style="238" customWidth="1"/>
    <col min="15875" max="15876" width="14.5703125" style="238" customWidth="1"/>
    <col min="15877" max="15877" width="11" style="238" customWidth="1"/>
    <col min="15878" max="16128" width="9.140625" style="238"/>
    <col min="16129" max="16129" width="4.7109375" style="238" customWidth="1"/>
    <col min="16130" max="16130" width="31.85546875" style="238" customWidth="1"/>
    <col min="16131" max="16132" width="14.5703125" style="238" customWidth="1"/>
    <col min="16133" max="16133" width="11" style="238" customWidth="1"/>
    <col min="16134" max="16384" width="9.140625" style="238"/>
  </cols>
  <sheetData>
    <row r="1" spans="1:5" x14ac:dyDescent="0.2">
      <c r="B1" s="239"/>
      <c r="C1" s="484" t="s">
        <v>597</v>
      </c>
      <c r="D1" s="484"/>
      <c r="E1" s="484"/>
    </row>
    <row r="2" spans="1:5" x14ac:dyDescent="0.2">
      <c r="B2" s="240"/>
      <c r="C2" s="436" t="s">
        <v>598</v>
      </c>
      <c r="D2" s="436"/>
      <c r="E2" s="436"/>
    </row>
    <row r="3" spans="1:5" x14ac:dyDescent="0.2">
      <c r="B3" s="240"/>
      <c r="C3" s="436" t="s">
        <v>576</v>
      </c>
      <c r="D3" s="436"/>
      <c r="E3" s="436"/>
    </row>
    <row r="4" spans="1:5" x14ac:dyDescent="0.2">
      <c r="B4" s="240"/>
      <c r="C4" s="436" t="s">
        <v>577</v>
      </c>
      <c r="D4" s="436"/>
      <c r="E4" s="436"/>
    </row>
    <row r="5" spans="1:5" x14ac:dyDescent="0.2">
      <c r="B5" s="240"/>
      <c r="C5" s="436" t="s">
        <v>593</v>
      </c>
      <c r="D5" s="436"/>
      <c r="E5" s="436"/>
    </row>
    <row r="6" spans="1:5" x14ac:dyDescent="0.2">
      <c r="B6" s="240"/>
      <c r="C6" s="436" t="s">
        <v>578</v>
      </c>
      <c r="D6" s="436"/>
      <c r="E6" s="436"/>
    </row>
    <row r="7" spans="1:5" x14ac:dyDescent="0.2">
      <c r="B7" s="477" t="s">
        <v>577</v>
      </c>
      <c r="C7" s="477"/>
      <c r="D7" s="477"/>
      <c r="E7" s="477"/>
    </row>
    <row r="8" spans="1:5" x14ac:dyDescent="0.2">
      <c r="B8" s="240"/>
      <c r="C8" s="436" t="s">
        <v>592</v>
      </c>
      <c r="D8" s="436"/>
      <c r="E8" s="436"/>
    </row>
    <row r="9" spans="1:5" x14ac:dyDescent="0.2">
      <c r="B9" s="240"/>
      <c r="C9" s="239"/>
      <c r="D9" s="239"/>
      <c r="E9" s="239"/>
    </row>
    <row r="10" spans="1:5" ht="45" customHeight="1" x14ac:dyDescent="0.2">
      <c r="A10" s="490" t="s">
        <v>629</v>
      </c>
      <c r="B10" s="490"/>
      <c r="C10" s="490"/>
      <c r="D10" s="490"/>
      <c r="E10" s="490"/>
    </row>
    <row r="11" spans="1:5" ht="18" customHeight="1" x14ac:dyDescent="0.2">
      <c r="A11" s="478"/>
      <c r="B11" s="478"/>
      <c r="C11" s="478"/>
      <c r="D11" s="483" t="s">
        <v>579</v>
      </c>
      <c r="E11" s="483"/>
    </row>
    <row r="12" spans="1:5" x14ac:dyDescent="0.2">
      <c r="A12" s="482" t="s">
        <v>512</v>
      </c>
      <c r="B12" s="482" t="s">
        <v>580</v>
      </c>
      <c r="C12" s="482"/>
      <c r="D12" s="489" t="s">
        <v>95</v>
      </c>
      <c r="E12" s="489"/>
    </row>
    <row r="13" spans="1:5" s="242" customFormat="1" x14ac:dyDescent="0.2">
      <c r="A13" s="482"/>
      <c r="B13" s="482"/>
      <c r="C13" s="482"/>
      <c r="D13" s="247" t="s">
        <v>611</v>
      </c>
      <c r="E13" s="247" t="s">
        <v>612</v>
      </c>
    </row>
    <row r="14" spans="1:5" x14ac:dyDescent="0.2">
      <c r="A14" s="243">
        <v>1</v>
      </c>
      <c r="B14" s="518" t="s">
        <v>581</v>
      </c>
      <c r="C14" s="518"/>
      <c r="D14" s="243">
        <v>88.8</v>
      </c>
      <c r="E14" s="243">
        <v>89.4</v>
      </c>
    </row>
    <row r="15" spans="1:5" x14ac:dyDescent="0.2">
      <c r="A15" s="243">
        <v>2</v>
      </c>
      <c r="B15" s="518" t="s">
        <v>582</v>
      </c>
      <c r="C15" s="518"/>
      <c r="D15" s="243">
        <v>88.8</v>
      </c>
      <c r="E15" s="243">
        <v>89.4</v>
      </c>
    </row>
    <row r="16" spans="1:5" x14ac:dyDescent="0.2">
      <c r="A16" s="243">
        <v>3</v>
      </c>
      <c r="B16" s="518" t="s">
        <v>583</v>
      </c>
      <c r="C16" s="518"/>
      <c r="D16" s="243">
        <v>88.8</v>
      </c>
      <c r="E16" s="243">
        <v>89.4</v>
      </c>
    </row>
    <row r="17" spans="1:5" x14ac:dyDescent="0.2">
      <c r="A17" s="243">
        <v>4</v>
      </c>
      <c r="B17" s="518" t="s">
        <v>584</v>
      </c>
      <c r="C17" s="518"/>
      <c r="D17" s="243">
        <v>72.2</v>
      </c>
      <c r="E17" s="243">
        <v>72.7</v>
      </c>
    </row>
    <row r="18" spans="1:5" x14ac:dyDescent="0.2">
      <c r="A18" s="243">
        <v>5</v>
      </c>
      <c r="B18" s="518" t="s">
        <v>585</v>
      </c>
      <c r="C18" s="518"/>
      <c r="D18" s="243">
        <v>88.8</v>
      </c>
      <c r="E18" s="243">
        <v>89.4</v>
      </c>
    </row>
    <row r="19" spans="1:5" x14ac:dyDescent="0.2">
      <c r="A19" s="243">
        <v>6</v>
      </c>
      <c r="B19" s="518" t="s">
        <v>586</v>
      </c>
      <c r="C19" s="518"/>
      <c r="D19" s="243">
        <v>72.2</v>
      </c>
      <c r="E19" s="243">
        <v>72.7</v>
      </c>
    </row>
    <row r="20" spans="1:5" x14ac:dyDescent="0.2">
      <c r="A20" s="244"/>
      <c r="B20" s="489" t="s">
        <v>587</v>
      </c>
      <c r="C20" s="489"/>
      <c r="D20" s="247">
        <f>SUM(D14:D19)</f>
        <v>499.59999999999997</v>
      </c>
      <c r="E20" s="247">
        <f>SUM(E14:E19)</f>
        <v>503.00000000000006</v>
      </c>
    </row>
    <row r="21" spans="1:5" x14ac:dyDescent="0.2">
      <c r="D21" s="238">
        <v>499.6</v>
      </c>
      <c r="E21" s="238">
        <v>503</v>
      </c>
    </row>
    <row r="22" spans="1:5" x14ac:dyDescent="0.2">
      <c r="D22" s="238">
        <f>D21-D20</f>
        <v>0</v>
      </c>
      <c r="E22" s="238">
        <f>E21-E20</f>
        <v>0</v>
      </c>
    </row>
  </sheetData>
  <mergeCells count="21">
    <mergeCell ref="A12:A13"/>
    <mergeCell ref="B12:C13"/>
    <mergeCell ref="D12:E12"/>
    <mergeCell ref="C1:E1"/>
    <mergeCell ref="C2:E2"/>
    <mergeCell ref="C3:E3"/>
    <mergeCell ref="C4:E4"/>
    <mergeCell ref="C5:E5"/>
    <mergeCell ref="C6:E6"/>
    <mergeCell ref="B7:E7"/>
    <mergeCell ref="C8:E8"/>
    <mergeCell ref="A10:E10"/>
    <mergeCell ref="A11:C11"/>
    <mergeCell ref="D11:E11"/>
    <mergeCell ref="B20:C20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view="pageBreakPreview" zoomScale="60" zoomScaleNormal="100" workbookViewId="0">
      <selection activeCell="D13" sqref="D13:E13"/>
    </sheetView>
  </sheetViews>
  <sheetFormatPr defaultRowHeight="12.75" x14ac:dyDescent="0.2"/>
  <cols>
    <col min="1" max="1" width="4.7109375" style="238" customWidth="1"/>
    <col min="2" max="2" width="31.85546875" style="238" customWidth="1"/>
    <col min="3" max="4" width="14.5703125" style="238" customWidth="1"/>
    <col min="5" max="5" width="10.28515625" style="238" customWidth="1"/>
    <col min="6" max="256" width="9.140625" style="238"/>
    <col min="257" max="257" width="4.7109375" style="238" customWidth="1"/>
    <col min="258" max="258" width="31.85546875" style="238" customWidth="1"/>
    <col min="259" max="260" width="14.5703125" style="238" customWidth="1"/>
    <col min="261" max="261" width="10.28515625" style="238" customWidth="1"/>
    <col min="262" max="512" width="9.140625" style="238"/>
    <col min="513" max="513" width="4.7109375" style="238" customWidth="1"/>
    <col min="514" max="514" width="31.85546875" style="238" customWidth="1"/>
    <col min="515" max="516" width="14.5703125" style="238" customWidth="1"/>
    <col min="517" max="517" width="10.28515625" style="238" customWidth="1"/>
    <col min="518" max="768" width="9.140625" style="238"/>
    <col min="769" max="769" width="4.7109375" style="238" customWidth="1"/>
    <col min="770" max="770" width="31.85546875" style="238" customWidth="1"/>
    <col min="771" max="772" width="14.5703125" style="238" customWidth="1"/>
    <col min="773" max="773" width="10.28515625" style="238" customWidth="1"/>
    <col min="774" max="1024" width="9.140625" style="238"/>
    <col min="1025" max="1025" width="4.7109375" style="238" customWidth="1"/>
    <col min="1026" max="1026" width="31.85546875" style="238" customWidth="1"/>
    <col min="1027" max="1028" width="14.5703125" style="238" customWidth="1"/>
    <col min="1029" max="1029" width="10.28515625" style="238" customWidth="1"/>
    <col min="1030" max="1280" width="9.140625" style="238"/>
    <col min="1281" max="1281" width="4.7109375" style="238" customWidth="1"/>
    <col min="1282" max="1282" width="31.85546875" style="238" customWidth="1"/>
    <col min="1283" max="1284" width="14.5703125" style="238" customWidth="1"/>
    <col min="1285" max="1285" width="10.28515625" style="238" customWidth="1"/>
    <col min="1286" max="1536" width="9.140625" style="238"/>
    <col min="1537" max="1537" width="4.7109375" style="238" customWidth="1"/>
    <col min="1538" max="1538" width="31.85546875" style="238" customWidth="1"/>
    <col min="1539" max="1540" width="14.5703125" style="238" customWidth="1"/>
    <col min="1541" max="1541" width="10.28515625" style="238" customWidth="1"/>
    <col min="1542" max="1792" width="9.140625" style="238"/>
    <col min="1793" max="1793" width="4.7109375" style="238" customWidth="1"/>
    <col min="1794" max="1794" width="31.85546875" style="238" customWidth="1"/>
    <col min="1795" max="1796" width="14.5703125" style="238" customWidth="1"/>
    <col min="1797" max="1797" width="10.28515625" style="238" customWidth="1"/>
    <col min="1798" max="2048" width="9.140625" style="238"/>
    <col min="2049" max="2049" width="4.7109375" style="238" customWidth="1"/>
    <col min="2050" max="2050" width="31.85546875" style="238" customWidth="1"/>
    <col min="2051" max="2052" width="14.5703125" style="238" customWidth="1"/>
    <col min="2053" max="2053" width="10.28515625" style="238" customWidth="1"/>
    <col min="2054" max="2304" width="9.140625" style="238"/>
    <col min="2305" max="2305" width="4.7109375" style="238" customWidth="1"/>
    <col min="2306" max="2306" width="31.85546875" style="238" customWidth="1"/>
    <col min="2307" max="2308" width="14.5703125" style="238" customWidth="1"/>
    <col min="2309" max="2309" width="10.28515625" style="238" customWidth="1"/>
    <col min="2310" max="2560" width="9.140625" style="238"/>
    <col min="2561" max="2561" width="4.7109375" style="238" customWidth="1"/>
    <col min="2562" max="2562" width="31.85546875" style="238" customWidth="1"/>
    <col min="2563" max="2564" width="14.5703125" style="238" customWidth="1"/>
    <col min="2565" max="2565" width="10.28515625" style="238" customWidth="1"/>
    <col min="2566" max="2816" width="9.140625" style="238"/>
    <col min="2817" max="2817" width="4.7109375" style="238" customWidth="1"/>
    <col min="2818" max="2818" width="31.85546875" style="238" customWidth="1"/>
    <col min="2819" max="2820" width="14.5703125" style="238" customWidth="1"/>
    <col min="2821" max="2821" width="10.28515625" style="238" customWidth="1"/>
    <col min="2822" max="3072" width="9.140625" style="238"/>
    <col min="3073" max="3073" width="4.7109375" style="238" customWidth="1"/>
    <col min="3074" max="3074" width="31.85546875" style="238" customWidth="1"/>
    <col min="3075" max="3076" width="14.5703125" style="238" customWidth="1"/>
    <col min="3077" max="3077" width="10.28515625" style="238" customWidth="1"/>
    <col min="3078" max="3328" width="9.140625" style="238"/>
    <col min="3329" max="3329" width="4.7109375" style="238" customWidth="1"/>
    <col min="3330" max="3330" width="31.85546875" style="238" customWidth="1"/>
    <col min="3331" max="3332" width="14.5703125" style="238" customWidth="1"/>
    <col min="3333" max="3333" width="10.28515625" style="238" customWidth="1"/>
    <col min="3334" max="3584" width="9.140625" style="238"/>
    <col min="3585" max="3585" width="4.7109375" style="238" customWidth="1"/>
    <col min="3586" max="3586" width="31.85546875" style="238" customWidth="1"/>
    <col min="3587" max="3588" width="14.5703125" style="238" customWidth="1"/>
    <col min="3589" max="3589" width="10.28515625" style="238" customWidth="1"/>
    <col min="3590" max="3840" width="9.140625" style="238"/>
    <col min="3841" max="3841" width="4.7109375" style="238" customWidth="1"/>
    <col min="3842" max="3842" width="31.85546875" style="238" customWidth="1"/>
    <col min="3843" max="3844" width="14.5703125" style="238" customWidth="1"/>
    <col min="3845" max="3845" width="10.28515625" style="238" customWidth="1"/>
    <col min="3846" max="4096" width="9.140625" style="238"/>
    <col min="4097" max="4097" width="4.7109375" style="238" customWidth="1"/>
    <col min="4098" max="4098" width="31.85546875" style="238" customWidth="1"/>
    <col min="4099" max="4100" width="14.5703125" style="238" customWidth="1"/>
    <col min="4101" max="4101" width="10.28515625" style="238" customWidth="1"/>
    <col min="4102" max="4352" width="9.140625" style="238"/>
    <col min="4353" max="4353" width="4.7109375" style="238" customWidth="1"/>
    <col min="4354" max="4354" width="31.85546875" style="238" customWidth="1"/>
    <col min="4355" max="4356" width="14.5703125" style="238" customWidth="1"/>
    <col min="4357" max="4357" width="10.28515625" style="238" customWidth="1"/>
    <col min="4358" max="4608" width="9.140625" style="238"/>
    <col min="4609" max="4609" width="4.7109375" style="238" customWidth="1"/>
    <col min="4610" max="4610" width="31.85546875" style="238" customWidth="1"/>
    <col min="4611" max="4612" width="14.5703125" style="238" customWidth="1"/>
    <col min="4613" max="4613" width="10.28515625" style="238" customWidth="1"/>
    <col min="4614" max="4864" width="9.140625" style="238"/>
    <col min="4865" max="4865" width="4.7109375" style="238" customWidth="1"/>
    <col min="4866" max="4866" width="31.85546875" style="238" customWidth="1"/>
    <col min="4867" max="4868" width="14.5703125" style="238" customWidth="1"/>
    <col min="4869" max="4869" width="10.28515625" style="238" customWidth="1"/>
    <col min="4870" max="5120" width="9.140625" style="238"/>
    <col min="5121" max="5121" width="4.7109375" style="238" customWidth="1"/>
    <col min="5122" max="5122" width="31.85546875" style="238" customWidth="1"/>
    <col min="5123" max="5124" width="14.5703125" style="238" customWidth="1"/>
    <col min="5125" max="5125" width="10.28515625" style="238" customWidth="1"/>
    <col min="5126" max="5376" width="9.140625" style="238"/>
    <col min="5377" max="5377" width="4.7109375" style="238" customWidth="1"/>
    <col min="5378" max="5378" width="31.85546875" style="238" customWidth="1"/>
    <col min="5379" max="5380" width="14.5703125" style="238" customWidth="1"/>
    <col min="5381" max="5381" width="10.28515625" style="238" customWidth="1"/>
    <col min="5382" max="5632" width="9.140625" style="238"/>
    <col min="5633" max="5633" width="4.7109375" style="238" customWidth="1"/>
    <col min="5634" max="5634" width="31.85546875" style="238" customWidth="1"/>
    <col min="5635" max="5636" width="14.5703125" style="238" customWidth="1"/>
    <col min="5637" max="5637" width="10.28515625" style="238" customWidth="1"/>
    <col min="5638" max="5888" width="9.140625" style="238"/>
    <col min="5889" max="5889" width="4.7109375" style="238" customWidth="1"/>
    <col min="5890" max="5890" width="31.85546875" style="238" customWidth="1"/>
    <col min="5891" max="5892" width="14.5703125" style="238" customWidth="1"/>
    <col min="5893" max="5893" width="10.28515625" style="238" customWidth="1"/>
    <col min="5894" max="6144" width="9.140625" style="238"/>
    <col min="6145" max="6145" width="4.7109375" style="238" customWidth="1"/>
    <col min="6146" max="6146" width="31.85546875" style="238" customWidth="1"/>
    <col min="6147" max="6148" width="14.5703125" style="238" customWidth="1"/>
    <col min="6149" max="6149" width="10.28515625" style="238" customWidth="1"/>
    <col min="6150" max="6400" width="9.140625" style="238"/>
    <col min="6401" max="6401" width="4.7109375" style="238" customWidth="1"/>
    <col min="6402" max="6402" width="31.85546875" style="238" customWidth="1"/>
    <col min="6403" max="6404" width="14.5703125" style="238" customWidth="1"/>
    <col min="6405" max="6405" width="10.28515625" style="238" customWidth="1"/>
    <col min="6406" max="6656" width="9.140625" style="238"/>
    <col min="6657" max="6657" width="4.7109375" style="238" customWidth="1"/>
    <col min="6658" max="6658" width="31.85546875" style="238" customWidth="1"/>
    <col min="6659" max="6660" width="14.5703125" style="238" customWidth="1"/>
    <col min="6661" max="6661" width="10.28515625" style="238" customWidth="1"/>
    <col min="6662" max="6912" width="9.140625" style="238"/>
    <col min="6913" max="6913" width="4.7109375" style="238" customWidth="1"/>
    <col min="6914" max="6914" width="31.85546875" style="238" customWidth="1"/>
    <col min="6915" max="6916" width="14.5703125" style="238" customWidth="1"/>
    <col min="6917" max="6917" width="10.28515625" style="238" customWidth="1"/>
    <col min="6918" max="7168" width="9.140625" style="238"/>
    <col min="7169" max="7169" width="4.7109375" style="238" customWidth="1"/>
    <col min="7170" max="7170" width="31.85546875" style="238" customWidth="1"/>
    <col min="7171" max="7172" width="14.5703125" style="238" customWidth="1"/>
    <col min="7173" max="7173" width="10.28515625" style="238" customWidth="1"/>
    <col min="7174" max="7424" width="9.140625" style="238"/>
    <col min="7425" max="7425" width="4.7109375" style="238" customWidth="1"/>
    <col min="7426" max="7426" width="31.85546875" style="238" customWidth="1"/>
    <col min="7427" max="7428" width="14.5703125" style="238" customWidth="1"/>
    <col min="7429" max="7429" width="10.28515625" style="238" customWidth="1"/>
    <col min="7430" max="7680" width="9.140625" style="238"/>
    <col min="7681" max="7681" width="4.7109375" style="238" customWidth="1"/>
    <col min="7682" max="7682" width="31.85546875" style="238" customWidth="1"/>
    <col min="7683" max="7684" width="14.5703125" style="238" customWidth="1"/>
    <col min="7685" max="7685" width="10.28515625" style="238" customWidth="1"/>
    <col min="7686" max="7936" width="9.140625" style="238"/>
    <col min="7937" max="7937" width="4.7109375" style="238" customWidth="1"/>
    <col min="7938" max="7938" width="31.85546875" style="238" customWidth="1"/>
    <col min="7939" max="7940" width="14.5703125" style="238" customWidth="1"/>
    <col min="7941" max="7941" width="10.28515625" style="238" customWidth="1"/>
    <col min="7942" max="8192" width="9.140625" style="238"/>
    <col min="8193" max="8193" width="4.7109375" style="238" customWidth="1"/>
    <col min="8194" max="8194" width="31.85546875" style="238" customWidth="1"/>
    <col min="8195" max="8196" width="14.5703125" style="238" customWidth="1"/>
    <col min="8197" max="8197" width="10.28515625" style="238" customWidth="1"/>
    <col min="8198" max="8448" width="9.140625" style="238"/>
    <col min="8449" max="8449" width="4.7109375" style="238" customWidth="1"/>
    <col min="8450" max="8450" width="31.85546875" style="238" customWidth="1"/>
    <col min="8451" max="8452" width="14.5703125" style="238" customWidth="1"/>
    <col min="8453" max="8453" width="10.28515625" style="238" customWidth="1"/>
    <col min="8454" max="8704" width="9.140625" style="238"/>
    <col min="8705" max="8705" width="4.7109375" style="238" customWidth="1"/>
    <col min="8706" max="8706" width="31.85546875" style="238" customWidth="1"/>
    <col min="8707" max="8708" width="14.5703125" style="238" customWidth="1"/>
    <col min="8709" max="8709" width="10.28515625" style="238" customWidth="1"/>
    <col min="8710" max="8960" width="9.140625" style="238"/>
    <col min="8961" max="8961" width="4.7109375" style="238" customWidth="1"/>
    <col min="8962" max="8962" width="31.85546875" style="238" customWidth="1"/>
    <col min="8963" max="8964" width="14.5703125" style="238" customWidth="1"/>
    <col min="8965" max="8965" width="10.28515625" style="238" customWidth="1"/>
    <col min="8966" max="9216" width="9.140625" style="238"/>
    <col min="9217" max="9217" width="4.7109375" style="238" customWidth="1"/>
    <col min="9218" max="9218" width="31.85546875" style="238" customWidth="1"/>
    <col min="9219" max="9220" width="14.5703125" style="238" customWidth="1"/>
    <col min="9221" max="9221" width="10.28515625" style="238" customWidth="1"/>
    <col min="9222" max="9472" width="9.140625" style="238"/>
    <col min="9473" max="9473" width="4.7109375" style="238" customWidth="1"/>
    <col min="9474" max="9474" width="31.85546875" style="238" customWidth="1"/>
    <col min="9475" max="9476" width="14.5703125" style="238" customWidth="1"/>
    <col min="9477" max="9477" width="10.28515625" style="238" customWidth="1"/>
    <col min="9478" max="9728" width="9.140625" style="238"/>
    <col min="9729" max="9729" width="4.7109375" style="238" customWidth="1"/>
    <col min="9730" max="9730" width="31.85546875" style="238" customWidth="1"/>
    <col min="9731" max="9732" width="14.5703125" style="238" customWidth="1"/>
    <col min="9733" max="9733" width="10.28515625" style="238" customWidth="1"/>
    <col min="9734" max="9984" width="9.140625" style="238"/>
    <col min="9985" max="9985" width="4.7109375" style="238" customWidth="1"/>
    <col min="9986" max="9986" width="31.85546875" style="238" customWidth="1"/>
    <col min="9987" max="9988" width="14.5703125" style="238" customWidth="1"/>
    <col min="9989" max="9989" width="10.28515625" style="238" customWidth="1"/>
    <col min="9990" max="10240" width="9.140625" style="238"/>
    <col min="10241" max="10241" width="4.7109375" style="238" customWidth="1"/>
    <col min="10242" max="10242" width="31.85546875" style="238" customWidth="1"/>
    <col min="10243" max="10244" width="14.5703125" style="238" customWidth="1"/>
    <col min="10245" max="10245" width="10.28515625" style="238" customWidth="1"/>
    <col min="10246" max="10496" width="9.140625" style="238"/>
    <col min="10497" max="10497" width="4.7109375" style="238" customWidth="1"/>
    <col min="10498" max="10498" width="31.85546875" style="238" customWidth="1"/>
    <col min="10499" max="10500" width="14.5703125" style="238" customWidth="1"/>
    <col min="10501" max="10501" width="10.28515625" style="238" customWidth="1"/>
    <col min="10502" max="10752" width="9.140625" style="238"/>
    <col min="10753" max="10753" width="4.7109375" style="238" customWidth="1"/>
    <col min="10754" max="10754" width="31.85546875" style="238" customWidth="1"/>
    <col min="10755" max="10756" width="14.5703125" style="238" customWidth="1"/>
    <col min="10757" max="10757" width="10.28515625" style="238" customWidth="1"/>
    <col min="10758" max="11008" width="9.140625" style="238"/>
    <col min="11009" max="11009" width="4.7109375" style="238" customWidth="1"/>
    <col min="11010" max="11010" width="31.85546875" style="238" customWidth="1"/>
    <col min="11011" max="11012" width="14.5703125" style="238" customWidth="1"/>
    <col min="11013" max="11013" width="10.28515625" style="238" customWidth="1"/>
    <col min="11014" max="11264" width="9.140625" style="238"/>
    <col min="11265" max="11265" width="4.7109375" style="238" customWidth="1"/>
    <col min="11266" max="11266" width="31.85546875" style="238" customWidth="1"/>
    <col min="11267" max="11268" width="14.5703125" style="238" customWidth="1"/>
    <col min="11269" max="11269" width="10.28515625" style="238" customWidth="1"/>
    <col min="11270" max="11520" width="9.140625" style="238"/>
    <col min="11521" max="11521" width="4.7109375" style="238" customWidth="1"/>
    <col min="11522" max="11522" width="31.85546875" style="238" customWidth="1"/>
    <col min="11523" max="11524" width="14.5703125" style="238" customWidth="1"/>
    <col min="11525" max="11525" width="10.28515625" style="238" customWidth="1"/>
    <col min="11526" max="11776" width="9.140625" style="238"/>
    <col min="11777" max="11777" width="4.7109375" style="238" customWidth="1"/>
    <col min="11778" max="11778" width="31.85546875" style="238" customWidth="1"/>
    <col min="11779" max="11780" width="14.5703125" style="238" customWidth="1"/>
    <col min="11781" max="11781" width="10.28515625" style="238" customWidth="1"/>
    <col min="11782" max="12032" width="9.140625" style="238"/>
    <col min="12033" max="12033" width="4.7109375" style="238" customWidth="1"/>
    <col min="12034" max="12034" width="31.85546875" style="238" customWidth="1"/>
    <col min="12035" max="12036" width="14.5703125" style="238" customWidth="1"/>
    <col min="12037" max="12037" width="10.28515625" style="238" customWidth="1"/>
    <col min="12038" max="12288" width="9.140625" style="238"/>
    <col min="12289" max="12289" width="4.7109375" style="238" customWidth="1"/>
    <col min="12290" max="12290" width="31.85546875" style="238" customWidth="1"/>
    <col min="12291" max="12292" width="14.5703125" style="238" customWidth="1"/>
    <col min="12293" max="12293" width="10.28515625" style="238" customWidth="1"/>
    <col min="12294" max="12544" width="9.140625" style="238"/>
    <col min="12545" max="12545" width="4.7109375" style="238" customWidth="1"/>
    <col min="12546" max="12546" width="31.85546875" style="238" customWidth="1"/>
    <col min="12547" max="12548" width="14.5703125" style="238" customWidth="1"/>
    <col min="12549" max="12549" width="10.28515625" style="238" customWidth="1"/>
    <col min="12550" max="12800" width="9.140625" style="238"/>
    <col min="12801" max="12801" width="4.7109375" style="238" customWidth="1"/>
    <col min="12802" max="12802" width="31.85546875" style="238" customWidth="1"/>
    <col min="12803" max="12804" width="14.5703125" style="238" customWidth="1"/>
    <col min="12805" max="12805" width="10.28515625" style="238" customWidth="1"/>
    <col min="12806" max="13056" width="9.140625" style="238"/>
    <col min="13057" max="13057" width="4.7109375" style="238" customWidth="1"/>
    <col min="13058" max="13058" width="31.85546875" style="238" customWidth="1"/>
    <col min="13059" max="13060" width="14.5703125" style="238" customWidth="1"/>
    <col min="13061" max="13061" width="10.28515625" style="238" customWidth="1"/>
    <col min="13062" max="13312" width="9.140625" style="238"/>
    <col min="13313" max="13313" width="4.7109375" style="238" customWidth="1"/>
    <col min="13314" max="13314" width="31.85546875" style="238" customWidth="1"/>
    <col min="13315" max="13316" width="14.5703125" style="238" customWidth="1"/>
    <col min="13317" max="13317" width="10.28515625" style="238" customWidth="1"/>
    <col min="13318" max="13568" width="9.140625" style="238"/>
    <col min="13569" max="13569" width="4.7109375" style="238" customWidth="1"/>
    <col min="13570" max="13570" width="31.85546875" style="238" customWidth="1"/>
    <col min="13571" max="13572" width="14.5703125" style="238" customWidth="1"/>
    <col min="13573" max="13573" width="10.28515625" style="238" customWidth="1"/>
    <col min="13574" max="13824" width="9.140625" style="238"/>
    <col min="13825" max="13825" width="4.7109375" style="238" customWidth="1"/>
    <col min="13826" max="13826" width="31.85546875" style="238" customWidth="1"/>
    <col min="13827" max="13828" width="14.5703125" style="238" customWidth="1"/>
    <col min="13829" max="13829" width="10.28515625" style="238" customWidth="1"/>
    <col min="13830" max="14080" width="9.140625" style="238"/>
    <col min="14081" max="14081" width="4.7109375" style="238" customWidth="1"/>
    <col min="14082" max="14082" width="31.85546875" style="238" customWidth="1"/>
    <col min="14083" max="14084" width="14.5703125" style="238" customWidth="1"/>
    <col min="14085" max="14085" width="10.28515625" style="238" customWidth="1"/>
    <col min="14086" max="14336" width="9.140625" style="238"/>
    <col min="14337" max="14337" width="4.7109375" style="238" customWidth="1"/>
    <col min="14338" max="14338" width="31.85546875" style="238" customWidth="1"/>
    <col min="14339" max="14340" width="14.5703125" style="238" customWidth="1"/>
    <col min="14341" max="14341" width="10.28515625" style="238" customWidth="1"/>
    <col min="14342" max="14592" width="9.140625" style="238"/>
    <col min="14593" max="14593" width="4.7109375" style="238" customWidth="1"/>
    <col min="14594" max="14594" width="31.85546875" style="238" customWidth="1"/>
    <col min="14595" max="14596" width="14.5703125" style="238" customWidth="1"/>
    <col min="14597" max="14597" width="10.28515625" style="238" customWidth="1"/>
    <col min="14598" max="14848" width="9.140625" style="238"/>
    <col min="14849" max="14849" width="4.7109375" style="238" customWidth="1"/>
    <col min="14850" max="14850" width="31.85546875" style="238" customWidth="1"/>
    <col min="14851" max="14852" width="14.5703125" style="238" customWidth="1"/>
    <col min="14853" max="14853" width="10.28515625" style="238" customWidth="1"/>
    <col min="14854" max="15104" width="9.140625" style="238"/>
    <col min="15105" max="15105" width="4.7109375" style="238" customWidth="1"/>
    <col min="15106" max="15106" width="31.85546875" style="238" customWidth="1"/>
    <col min="15107" max="15108" width="14.5703125" style="238" customWidth="1"/>
    <col min="15109" max="15109" width="10.28515625" style="238" customWidth="1"/>
    <col min="15110" max="15360" width="9.140625" style="238"/>
    <col min="15361" max="15361" width="4.7109375" style="238" customWidth="1"/>
    <col min="15362" max="15362" width="31.85546875" style="238" customWidth="1"/>
    <col min="15363" max="15364" width="14.5703125" style="238" customWidth="1"/>
    <col min="15365" max="15365" width="10.28515625" style="238" customWidth="1"/>
    <col min="15366" max="15616" width="9.140625" style="238"/>
    <col min="15617" max="15617" width="4.7109375" style="238" customWidth="1"/>
    <col min="15618" max="15618" width="31.85546875" style="238" customWidth="1"/>
    <col min="15619" max="15620" width="14.5703125" style="238" customWidth="1"/>
    <col min="15621" max="15621" width="10.28515625" style="238" customWidth="1"/>
    <col min="15622" max="15872" width="9.140625" style="238"/>
    <col min="15873" max="15873" width="4.7109375" style="238" customWidth="1"/>
    <col min="15874" max="15874" width="31.85546875" style="238" customWidth="1"/>
    <col min="15875" max="15876" width="14.5703125" style="238" customWidth="1"/>
    <col min="15877" max="15877" width="10.28515625" style="238" customWidth="1"/>
    <col min="15878" max="16128" width="9.140625" style="238"/>
    <col min="16129" max="16129" width="4.7109375" style="238" customWidth="1"/>
    <col min="16130" max="16130" width="31.85546875" style="238" customWidth="1"/>
    <col min="16131" max="16132" width="14.5703125" style="238" customWidth="1"/>
    <col min="16133" max="16133" width="10.28515625" style="238" customWidth="1"/>
    <col min="16134" max="16384" width="9.140625" style="238"/>
  </cols>
  <sheetData>
    <row r="1" spans="1:5" x14ac:dyDescent="0.2">
      <c r="B1" s="239"/>
      <c r="C1" s="484" t="s">
        <v>574</v>
      </c>
      <c r="D1" s="484"/>
      <c r="E1" s="484"/>
    </row>
    <row r="2" spans="1:5" x14ac:dyDescent="0.2">
      <c r="B2" s="240"/>
      <c r="C2" s="436" t="s">
        <v>575</v>
      </c>
      <c r="D2" s="436"/>
      <c r="E2" s="436"/>
    </row>
    <row r="3" spans="1:5" x14ac:dyDescent="0.2">
      <c r="B3" s="240"/>
      <c r="C3" s="436" t="s">
        <v>576</v>
      </c>
      <c r="D3" s="436"/>
      <c r="E3" s="436"/>
    </row>
    <row r="4" spans="1:5" x14ac:dyDescent="0.2">
      <c r="B4" s="240"/>
      <c r="C4" s="436" t="s">
        <v>577</v>
      </c>
      <c r="D4" s="436"/>
      <c r="E4" s="436"/>
    </row>
    <row r="5" spans="1:5" x14ac:dyDescent="0.2">
      <c r="B5" s="240"/>
      <c r="C5" s="436" t="s">
        <v>591</v>
      </c>
      <c r="D5" s="436"/>
      <c r="E5" s="436"/>
    </row>
    <row r="6" spans="1:5" x14ac:dyDescent="0.2">
      <c r="B6" s="240"/>
      <c r="C6" s="436" t="s">
        <v>578</v>
      </c>
      <c r="D6" s="436"/>
      <c r="E6" s="436"/>
    </row>
    <row r="7" spans="1:5" x14ac:dyDescent="0.2">
      <c r="B7" s="477" t="s">
        <v>577</v>
      </c>
      <c r="C7" s="477"/>
      <c r="D7" s="477"/>
      <c r="E7" s="477"/>
    </row>
    <row r="8" spans="1:5" x14ac:dyDescent="0.2">
      <c r="B8" s="240"/>
      <c r="C8" s="436" t="s">
        <v>592</v>
      </c>
      <c r="D8" s="436"/>
      <c r="E8" s="436"/>
    </row>
    <row r="9" spans="1:5" x14ac:dyDescent="0.2">
      <c r="B9" s="240"/>
      <c r="C9" s="239"/>
      <c r="D9" s="239"/>
      <c r="E9" s="239"/>
    </row>
    <row r="10" spans="1:5" ht="45" customHeight="1" x14ac:dyDescent="0.2">
      <c r="A10" s="241"/>
      <c r="B10" s="490" t="s">
        <v>627</v>
      </c>
      <c r="C10" s="490"/>
      <c r="D10" s="490"/>
      <c r="E10" s="490"/>
    </row>
    <row r="11" spans="1:5" x14ac:dyDescent="0.2">
      <c r="A11" s="478"/>
      <c r="B11" s="478"/>
      <c r="C11" s="478"/>
      <c r="D11" s="483" t="s">
        <v>579</v>
      </c>
      <c r="E11" s="483"/>
    </row>
    <row r="12" spans="1:5" s="242" customFormat="1" ht="25.5" x14ac:dyDescent="0.2">
      <c r="A12" s="9" t="s">
        <v>512</v>
      </c>
      <c r="B12" s="480" t="s">
        <v>580</v>
      </c>
      <c r="C12" s="481"/>
      <c r="D12" s="516" t="s">
        <v>590</v>
      </c>
      <c r="E12" s="517"/>
    </row>
    <row r="13" spans="1:5" x14ac:dyDescent="0.2">
      <c r="A13" s="243" t="s">
        <v>617</v>
      </c>
      <c r="B13" s="485" t="s">
        <v>583</v>
      </c>
      <c r="C13" s="486"/>
      <c r="D13" s="485">
        <v>68.900000000000006</v>
      </c>
      <c r="E13" s="486"/>
    </row>
    <row r="14" spans="1:5" x14ac:dyDescent="0.2">
      <c r="A14" s="244"/>
      <c r="B14" s="487" t="s">
        <v>587</v>
      </c>
      <c r="C14" s="488"/>
      <c r="D14" s="487">
        <f>SUM(D13:E13)</f>
        <v>68.900000000000006</v>
      </c>
      <c r="E14" s="488"/>
    </row>
  </sheetData>
  <mergeCells count="17">
    <mergeCell ref="C6:E6"/>
    <mergeCell ref="C1:E1"/>
    <mergeCell ref="C2:E2"/>
    <mergeCell ref="C3:E3"/>
    <mergeCell ref="C4:E4"/>
    <mergeCell ref="C5:E5"/>
    <mergeCell ref="B14:C14"/>
    <mergeCell ref="D14:E14"/>
    <mergeCell ref="B13:C13"/>
    <mergeCell ref="D13:E13"/>
    <mergeCell ref="B7:E7"/>
    <mergeCell ref="C8:E8"/>
    <mergeCell ref="B10:E10"/>
    <mergeCell ref="A11:C11"/>
    <mergeCell ref="D11:E11"/>
    <mergeCell ref="B12:C12"/>
    <mergeCell ref="D12:E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80"/>
  <sheetViews>
    <sheetView zoomScaleNormal="100" workbookViewId="0">
      <selection activeCell="A28" sqref="A1:XFD1048576"/>
    </sheetView>
  </sheetViews>
  <sheetFormatPr defaultRowHeight="15" x14ac:dyDescent="0.25"/>
  <cols>
    <col min="1" max="1" width="21.5703125" style="2" customWidth="1"/>
    <col min="2" max="2" width="77.42578125" style="4" customWidth="1"/>
    <col min="3" max="3" width="18.5703125" style="48" customWidth="1"/>
    <col min="4" max="4" width="11.85546875" style="2" customWidth="1"/>
    <col min="5" max="16384" width="9.140625" style="2"/>
  </cols>
  <sheetData>
    <row r="1" spans="1:3" x14ac:dyDescent="0.25">
      <c r="A1" s="436" t="s">
        <v>704</v>
      </c>
      <c r="B1" s="436"/>
      <c r="C1" s="436"/>
    </row>
    <row r="2" spans="1:3" x14ac:dyDescent="0.25">
      <c r="A2" s="436" t="s">
        <v>0</v>
      </c>
      <c r="B2" s="436"/>
      <c r="C2" s="436"/>
    </row>
    <row r="3" spans="1:3" x14ac:dyDescent="0.25">
      <c r="A3" s="436" t="s">
        <v>1</v>
      </c>
      <c r="B3" s="436"/>
      <c r="C3" s="436"/>
    </row>
    <row r="4" spans="1:3" x14ac:dyDescent="0.25">
      <c r="A4" s="436" t="s">
        <v>2</v>
      </c>
      <c r="B4" s="436"/>
      <c r="C4" s="436"/>
    </row>
    <row r="5" spans="1:3" x14ac:dyDescent="0.25">
      <c r="A5" s="436" t="s">
        <v>705</v>
      </c>
      <c r="B5" s="436"/>
      <c r="C5" s="436"/>
    </row>
    <row r="6" spans="1:3" x14ac:dyDescent="0.25">
      <c r="A6" s="436" t="s">
        <v>3</v>
      </c>
      <c r="B6" s="436"/>
      <c r="C6" s="436"/>
    </row>
    <row r="7" spans="1:3" x14ac:dyDescent="0.25">
      <c r="A7" s="436" t="s">
        <v>4</v>
      </c>
      <c r="B7" s="436"/>
      <c r="C7" s="436"/>
    </row>
    <row r="8" spans="1:3" x14ac:dyDescent="0.25">
      <c r="A8" s="436" t="s">
        <v>97</v>
      </c>
      <c r="B8" s="436"/>
      <c r="C8" s="436"/>
    </row>
    <row r="9" spans="1:3" ht="15.75" x14ac:dyDescent="0.25">
      <c r="A9" s="3"/>
      <c r="C9" s="5"/>
    </row>
    <row r="10" spans="1:3" ht="30.75" customHeight="1" x14ac:dyDescent="0.25">
      <c r="A10" s="439" t="s">
        <v>100</v>
      </c>
      <c r="B10" s="439"/>
      <c r="C10" s="439"/>
    </row>
    <row r="11" spans="1:3" x14ac:dyDescent="0.25">
      <c r="A11" s="6"/>
      <c r="B11" s="7"/>
      <c r="C11" s="8" t="s">
        <v>5</v>
      </c>
    </row>
    <row r="12" spans="1:3" s="10" customFormat="1" ht="25.5" x14ac:dyDescent="0.2">
      <c r="A12" s="433" t="s">
        <v>6</v>
      </c>
      <c r="B12" s="433" t="s">
        <v>7</v>
      </c>
      <c r="C12" s="434" t="s">
        <v>101</v>
      </c>
    </row>
    <row r="13" spans="1:3" s="10" customFormat="1" ht="14.25" x14ac:dyDescent="0.2">
      <c r="A13" s="11" t="s">
        <v>8</v>
      </c>
      <c r="B13" s="12" t="s">
        <v>9</v>
      </c>
      <c r="C13" s="13">
        <f>C14+C16+C17+C21+C23+C24+C25+C28+C30+C33+C35+C36</f>
        <v>32088</v>
      </c>
    </row>
    <row r="14" spans="1:3" s="10" customFormat="1" ht="14.25" x14ac:dyDescent="0.2">
      <c r="A14" s="11" t="s">
        <v>10</v>
      </c>
      <c r="B14" s="12" t="s">
        <v>11</v>
      </c>
      <c r="C14" s="13">
        <f>SUM(C15:C15)</f>
        <v>23336</v>
      </c>
    </row>
    <row r="15" spans="1:3" s="10" customFormat="1" x14ac:dyDescent="0.2">
      <c r="A15" s="14" t="s">
        <v>12</v>
      </c>
      <c r="B15" s="15" t="s">
        <v>13</v>
      </c>
      <c r="C15" s="16">
        <v>23336</v>
      </c>
    </row>
    <row r="16" spans="1:3" s="10" customFormat="1" ht="14.25" x14ac:dyDescent="0.2">
      <c r="A16" s="11" t="s">
        <v>14</v>
      </c>
      <c r="B16" s="12" t="s">
        <v>15</v>
      </c>
      <c r="C16" s="13">
        <v>3809</v>
      </c>
    </row>
    <row r="17" spans="1:6" s="10" customFormat="1" ht="14.25" x14ac:dyDescent="0.2">
      <c r="A17" s="11" t="s">
        <v>16</v>
      </c>
      <c r="B17" s="12" t="s">
        <v>17</v>
      </c>
      <c r="C17" s="13">
        <f>SUM(C18+C19+C20)</f>
        <v>1013</v>
      </c>
    </row>
    <row r="18" spans="1:6" s="10" customFormat="1" x14ac:dyDescent="0.2">
      <c r="A18" s="14" t="s">
        <v>18</v>
      </c>
      <c r="B18" s="15" t="s">
        <v>19</v>
      </c>
      <c r="C18" s="16">
        <v>807</v>
      </c>
    </row>
    <row r="19" spans="1:6" s="10" customFormat="1" x14ac:dyDescent="0.2">
      <c r="A19" s="14" t="s">
        <v>20</v>
      </c>
      <c r="B19" s="15" t="s">
        <v>21</v>
      </c>
      <c r="C19" s="16">
        <v>96</v>
      </c>
    </row>
    <row r="20" spans="1:6" s="10" customFormat="1" x14ac:dyDescent="0.2">
      <c r="A20" s="14" t="s">
        <v>22</v>
      </c>
      <c r="B20" s="15" t="s">
        <v>23</v>
      </c>
      <c r="C20" s="16">
        <v>110</v>
      </c>
    </row>
    <row r="21" spans="1:6" s="10" customFormat="1" ht="14.25" x14ac:dyDescent="0.2">
      <c r="A21" s="11" t="s">
        <v>24</v>
      </c>
      <c r="B21" s="12" t="s">
        <v>25</v>
      </c>
      <c r="C21" s="13">
        <f>C22</f>
        <v>917</v>
      </c>
    </row>
    <row r="22" spans="1:6" s="10" customFormat="1" x14ac:dyDescent="0.2">
      <c r="A22" s="14" t="s">
        <v>26</v>
      </c>
      <c r="B22" s="15" t="s">
        <v>27</v>
      </c>
      <c r="C22" s="16">
        <v>917</v>
      </c>
    </row>
    <row r="23" spans="1:6" s="10" customFormat="1" ht="14.25" x14ac:dyDescent="0.2">
      <c r="A23" s="17" t="s">
        <v>28</v>
      </c>
      <c r="B23" s="18" t="s">
        <v>29</v>
      </c>
      <c r="C23" s="19">
        <v>495</v>
      </c>
    </row>
    <row r="24" spans="1:6" s="10" customFormat="1" ht="25.5" x14ac:dyDescent="0.2">
      <c r="A24" s="11" t="s">
        <v>30</v>
      </c>
      <c r="B24" s="18" t="s">
        <v>31</v>
      </c>
      <c r="C24" s="19">
        <v>0</v>
      </c>
      <c r="E24" s="10" t="s">
        <v>32</v>
      </c>
    </row>
    <row r="25" spans="1:6" s="10" customFormat="1" ht="25.5" x14ac:dyDescent="0.2">
      <c r="A25" s="11" t="s">
        <v>33</v>
      </c>
      <c r="B25" s="18" t="s">
        <v>34</v>
      </c>
      <c r="C25" s="19">
        <f>C26+C27</f>
        <v>770</v>
      </c>
    </row>
    <row r="26" spans="1:6" s="10" customFormat="1" ht="51" x14ac:dyDescent="0.2">
      <c r="A26" s="14" t="s">
        <v>35</v>
      </c>
      <c r="B26" s="20" t="s">
        <v>36</v>
      </c>
      <c r="C26" s="21">
        <v>560</v>
      </c>
    </row>
    <row r="27" spans="1:6" s="10" customFormat="1" ht="38.25" x14ac:dyDescent="0.2">
      <c r="A27" s="14" t="s">
        <v>37</v>
      </c>
      <c r="B27" s="20" t="s">
        <v>38</v>
      </c>
      <c r="C27" s="21">
        <v>210</v>
      </c>
    </row>
    <row r="28" spans="1:6" s="10" customFormat="1" ht="14.25" x14ac:dyDescent="0.2">
      <c r="A28" s="11" t="s">
        <v>39</v>
      </c>
      <c r="B28" s="18" t="s">
        <v>40</v>
      </c>
      <c r="C28" s="19">
        <f>SUM(C29)</f>
        <v>618</v>
      </c>
      <c r="F28" s="10" t="s">
        <v>32</v>
      </c>
    </row>
    <row r="29" spans="1:6" s="10" customFormat="1" x14ac:dyDescent="0.2">
      <c r="A29" s="14" t="s">
        <v>41</v>
      </c>
      <c r="B29" s="20" t="s">
        <v>42</v>
      </c>
      <c r="C29" s="21">
        <v>618</v>
      </c>
    </row>
    <row r="30" spans="1:6" s="22" customFormat="1" ht="25.5" x14ac:dyDescent="0.2">
      <c r="A30" s="11" t="s">
        <v>43</v>
      </c>
      <c r="B30" s="18" t="s">
        <v>44</v>
      </c>
      <c r="C30" s="19">
        <f>C31</f>
        <v>0</v>
      </c>
    </row>
    <row r="31" spans="1:6" s="23" customFormat="1" ht="25.5" x14ac:dyDescent="0.25">
      <c r="A31" s="14" t="s">
        <v>45</v>
      </c>
      <c r="B31" s="20" t="s">
        <v>46</v>
      </c>
      <c r="C31" s="21">
        <v>0</v>
      </c>
    </row>
    <row r="32" spans="1:6" s="24" customFormat="1" x14ac:dyDescent="0.25">
      <c r="A32" s="14" t="s">
        <v>47</v>
      </c>
      <c r="B32" s="20" t="s">
        <v>48</v>
      </c>
      <c r="C32" s="21">
        <v>0</v>
      </c>
    </row>
    <row r="33" spans="1:5" s="23" customFormat="1" x14ac:dyDescent="0.25">
      <c r="A33" s="11" t="s">
        <v>49</v>
      </c>
      <c r="B33" s="18" t="s">
        <v>50</v>
      </c>
      <c r="C33" s="19">
        <f>C34</f>
        <v>270</v>
      </c>
    </row>
    <row r="34" spans="1:5" s="23" customFormat="1" ht="25.5" x14ac:dyDescent="0.25">
      <c r="A34" s="14" t="s">
        <v>51</v>
      </c>
      <c r="B34" s="20" t="s">
        <v>52</v>
      </c>
      <c r="C34" s="21">
        <v>270</v>
      </c>
    </row>
    <row r="35" spans="1:5" s="24" customFormat="1" x14ac:dyDescent="0.25">
      <c r="A35" s="11" t="s">
        <v>53</v>
      </c>
      <c r="B35" s="18" t="s">
        <v>54</v>
      </c>
      <c r="C35" s="19">
        <v>360</v>
      </c>
    </row>
    <row r="36" spans="1:5" s="25" customFormat="1" ht="14.25" x14ac:dyDescent="0.2">
      <c r="A36" s="11" t="s">
        <v>55</v>
      </c>
      <c r="B36" s="18" t="s">
        <v>56</v>
      </c>
      <c r="C36" s="19">
        <f>C38</f>
        <v>500</v>
      </c>
    </row>
    <row r="37" spans="1:5" s="23" customFormat="1" x14ac:dyDescent="0.25">
      <c r="A37" s="14" t="s">
        <v>57</v>
      </c>
      <c r="B37" s="20" t="s">
        <v>58</v>
      </c>
      <c r="C37" s="19">
        <v>0</v>
      </c>
    </row>
    <row r="38" spans="1:5" s="23" customFormat="1" x14ac:dyDescent="0.25">
      <c r="A38" s="14" t="s">
        <v>59</v>
      </c>
      <c r="B38" s="20" t="s">
        <v>60</v>
      </c>
      <c r="C38" s="21">
        <v>500</v>
      </c>
    </row>
    <row r="39" spans="1:5" s="23" customFormat="1" x14ac:dyDescent="0.25">
      <c r="A39" s="11" t="s">
        <v>61</v>
      </c>
      <c r="B39" s="26" t="s">
        <v>62</v>
      </c>
      <c r="C39" s="27">
        <f>SUM(C40)</f>
        <v>466435.39999999997</v>
      </c>
      <c r="D39" s="23">
        <v>465300.4</v>
      </c>
      <c r="E39" s="28">
        <f>C39-D39</f>
        <v>1134.9999999999418</v>
      </c>
    </row>
    <row r="40" spans="1:5" s="23" customFormat="1" ht="25.5" x14ac:dyDescent="0.25">
      <c r="A40" s="14" t="s">
        <v>63</v>
      </c>
      <c r="B40" s="29" t="s">
        <v>64</v>
      </c>
      <c r="C40" s="30">
        <f>SUM(C41+C44+C52+C72)</f>
        <v>466435.39999999997</v>
      </c>
      <c r="E40" s="23" t="s">
        <v>103</v>
      </c>
    </row>
    <row r="41" spans="1:5" s="23" customFormat="1" x14ac:dyDescent="0.25">
      <c r="A41" s="31" t="s">
        <v>785</v>
      </c>
      <c r="B41" s="32" t="s">
        <v>786</v>
      </c>
      <c r="C41" s="33">
        <f>SUM(C42:C43)</f>
        <v>145853.5</v>
      </c>
    </row>
    <row r="42" spans="1:5" s="24" customFormat="1" ht="18.75" customHeight="1" x14ac:dyDescent="0.25">
      <c r="A42" s="14" t="s">
        <v>719</v>
      </c>
      <c r="B42" s="29" t="s">
        <v>783</v>
      </c>
      <c r="C42" s="30">
        <v>139163.5</v>
      </c>
    </row>
    <row r="43" spans="1:5" s="23" customFormat="1" ht="25.5" x14ac:dyDescent="0.25">
      <c r="A43" s="14" t="s">
        <v>721</v>
      </c>
      <c r="B43" s="29" t="s">
        <v>784</v>
      </c>
      <c r="C43" s="30">
        <v>6690</v>
      </c>
    </row>
    <row r="44" spans="1:5" s="23" customFormat="1" ht="27" x14ac:dyDescent="0.25">
      <c r="A44" s="31" t="s">
        <v>787</v>
      </c>
      <c r="B44" s="32" t="s">
        <v>788</v>
      </c>
      <c r="C44" s="33">
        <f>SUM(C45)</f>
        <v>20298.3</v>
      </c>
    </row>
    <row r="45" spans="1:5" s="23" customFormat="1" x14ac:dyDescent="0.25">
      <c r="A45" s="14" t="s">
        <v>725</v>
      </c>
      <c r="B45" s="29" t="s">
        <v>726</v>
      </c>
      <c r="C45" s="30">
        <f>C46+C47+C48+C49+C50+C51</f>
        <v>20298.3</v>
      </c>
    </row>
    <row r="46" spans="1:5" s="23" customFormat="1" ht="26.25" x14ac:dyDescent="0.25">
      <c r="A46" s="14"/>
      <c r="B46" s="34" t="s">
        <v>65</v>
      </c>
      <c r="C46" s="30">
        <v>1145</v>
      </c>
    </row>
    <row r="47" spans="1:5" s="23" customFormat="1" ht="51" x14ac:dyDescent="0.25">
      <c r="A47" s="14"/>
      <c r="B47" s="29" t="s">
        <v>66</v>
      </c>
      <c r="C47" s="30">
        <v>15846.6</v>
      </c>
    </row>
    <row r="48" spans="1:5" s="23" customFormat="1" ht="25.5" x14ac:dyDescent="0.25">
      <c r="A48" s="14"/>
      <c r="B48" s="29" t="s">
        <v>67</v>
      </c>
      <c r="C48" s="30">
        <v>0</v>
      </c>
    </row>
    <row r="49" spans="1:7" s="23" customFormat="1" x14ac:dyDescent="0.25">
      <c r="A49" s="14"/>
      <c r="B49" s="29" t="s">
        <v>68</v>
      </c>
      <c r="C49" s="30">
        <v>1571.9</v>
      </c>
    </row>
    <row r="50" spans="1:7" s="23" customFormat="1" ht="25.5" x14ac:dyDescent="0.25">
      <c r="A50" s="14"/>
      <c r="B50" s="29" t="s">
        <v>69</v>
      </c>
      <c r="C50" s="30">
        <v>0</v>
      </c>
      <c r="F50" s="23" t="s">
        <v>32</v>
      </c>
    </row>
    <row r="51" spans="1:7" s="23" customFormat="1" ht="25.5" x14ac:dyDescent="0.25">
      <c r="A51" s="14"/>
      <c r="B51" s="29" t="s">
        <v>102</v>
      </c>
      <c r="C51" s="30">
        <v>1734.8</v>
      </c>
    </row>
    <row r="52" spans="1:7" s="23" customFormat="1" x14ac:dyDescent="0.25">
      <c r="A52" s="31" t="s">
        <v>789</v>
      </c>
      <c r="B52" s="32" t="s">
        <v>790</v>
      </c>
      <c r="C52" s="33">
        <f>C53+C54+C55+C67+C68+C69+C70+C71</f>
        <v>299148.59999999998</v>
      </c>
    </row>
    <row r="53" spans="1:7" s="25" customFormat="1" ht="38.25" x14ac:dyDescent="0.2">
      <c r="A53" s="42" t="s">
        <v>731</v>
      </c>
      <c r="B53" s="421" t="s">
        <v>791</v>
      </c>
      <c r="C53" s="35">
        <v>35.4</v>
      </c>
    </row>
    <row r="54" spans="1:7" s="23" customFormat="1" ht="25.5" x14ac:dyDescent="0.25">
      <c r="A54" s="42" t="s">
        <v>735</v>
      </c>
      <c r="B54" s="422" t="s">
        <v>736</v>
      </c>
      <c r="C54" s="30">
        <v>11633.4</v>
      </c>
    </row>
    <row r="55" spans="1:7" s="23" customFormat="1" ht="25.5" x14ac:dyDescent="0.25">
      <c r="A55" s="14" t="s">
        <v>737</v>
      </c>
      <c r="B55" s="38" t="s">
        <v>738</v>
      </c>
      <c r="C55" s="39">
        <f>SUM(C56:C66)</f>
        <v>245642.4</v>
      </c>
    </row>
    <row r="56" spans="1:7" s="23" customFormat="1" ht="51" x14ac:dyDescent="0.25">
      <c r="A56" s="14"/>
      <c r="B56" s="38" t="s">
        <v>74</v>
      </c>
      <c r="C56" s="30">
        <v>223398</v>
      </c>
      <c r="D56" s="423"/>
      <c r="E56" s="424"/>
      <c r="F56" s="424"/>
      <c r="G56" s="424"/>
    </row>
    <row r="57" spans="1:7" s="23" customFormat="1" ht="51" x14ac:dyDescent="0.25">
      <c r="A57" s="14"/>
      <c r="B57" s="38" t="s">
        <v>75</v>
      </c>
      <c r="C57" s="30">
        <v>6070.1</v>
      </c>
      <c r="E57" s="23" t="s">
        <v>32</v>
      </c>
      <c r="F57" s="23" t="s">
        <v>32</v>
      </c>
    </row>
    <row r="58" spans="1:7" s="23" customFormat="1" ht="26.25" x14ac:dyDescent="0.25">
      <c r="A58" s="40"/>
      <c r="B58" s="34" t="s">
        <v>76</v>
      </c>
      <c r="C58" s="30">
        <v>7</v>
      </c>
      <c r="E58" s="23" t="s">
        <v>32</v>
      </c>
    </row>
    <row r="59" spans="1:7" s="23" customFormat="1" ht="25.5" x14ac:dyDescent="0.25">
      <c r="A59" s="14"/>
      <c r="B59" s="38" t="s">
        <v>77</v>
      </c>
      <c r="C59" s="30">
        <v>278.60000000000002</v>
      </c>
    </row>
    <row r="60" spans="1:7" s="24" customFormat="1" ht="25.5" x14ac:dyDescent="0.25">
      <c r="A60" s="14"/>
      <c r="B60" s="36" t="s">
        <v>78</v>
      </c>
      <c r="C60" s="30">
        <v>5090.3</v>
      </c>
    </row>
    <row r="61" spans="1:7" s="23" customFormat="1" ht="25.5" x14ac:dyDescent="0.25">
      <c r="A61" s="14"/>
      <c r="B61" s="38" t="s">
        <v>79</v>
      </c>
      <c r="C61" s="425">
        <v>7852.1</v>
      </c>
    </row>
    <row r="62" spans="1:7" s="23" customFormat="1" ht="38.25" x14ac:dyDescent="0.25">
      <c r="A62" s="14"/>
      <c r="B62" s="37" t="s">
        <v>80</v>
      </c>
      <c r="C62" s="30">
        <v>560.9</v>
      </c>
    </row>
    <row r="63" spans="1:7" s="6" customFormat="1" ht="25.5" x14ac:dyDescent="0.2">
      <c r="A63" s="14"/>
      <c r="B63" s="38" t="s">
        <v>81</v>
      </c>
      <c r="C63" s="30">
        <v>433.2</v>
      </c>
    </row>
    <row r="64" spans="1:7" ht="25.5" x14ac:dyDescent="0.25">
      <c r="A64" s="14"/>
      <c r="B64" s="38" t="s">
        <v>82</v>
      </c>
      <c r="C64" s="30">
        <v>393.9</v>
      </c>
    </row>
    <row r="65" spans="1:9" ht="38.25" x14ac:dyDescent="0.25">
      <c r="A65" s="14"/>
      <c r="B65" s="38" t="s">
        <v>83</v>
      </c>
      <c r="C65" s="30">
        <v>1558.3</v>
      </c>
    </row>
    <row r="66" spans="1:9" ht="26.25" x14ac:dyDescent="0.25">
      <c r="A66" s="14"/>
      <c r="B66" s="41" t="s">
        <v>84</v>
      </c>
      <c r="C66" s="30">
        <v>0</v>
      </c>
    </row>
    <row r="67" spans="1:9" ht="57" customHeight="1" x14ac:dyDescent="0.25">
      <c r="A67" s="42" t="s">
        <v>741</v>
      </c>
      <c r="B67" s="422" t="s">
        <v>792</v>
      </c>
      <c r="C67" s="30">
        <v>3629.7</v>
      </c>
    </row>
    <row r="68" spans="1:9" ht="42.75" customHeight="1" x14ac:dyDescent="0.25">
      <c r="A68" s="42" t="s">
        <v>733</v>
      </c>
      <c r="B68" s="426" t="s">
        <v>793</v>
      </c>
      <c r="C68" s="30">
        <v>762.6</v>
      </c>
    </row>
    <row r="69" spans="1:9" ht="42.75" customHeight="1" x14ac:dyDescent="0.25">
      <c r="A69" s="42" t="s">
        <v>729</v>
      </c>
      <c r="B69" s="427" t="s">
        <v>794</v>
      </c>
      <c r="C69" s="30">
        <v>204</v>
      </c>
    </row>
    <row r="70" spans="1:9" ht="32.25" customHeight="1" x14ac:dyDescent="0.25">
      <c r="A70" s="42" t="s">
        <v>727</v>
      </c>
      <c r="B70" s="428" t="s">
        <v>728</v>
      </c>
      <c r="C70" s="30">
        <v>4161</v>
      </c>
      <c r="I70" s="2" t="s">
        <v>32</v>
      </c>
    </row>
    <row r="71" spans="1:9" ht="57.75" customHeight="1" x14ac:dyDescent="0.25">
      <c r="A71" s="42" t="s">
        <v>743</v>
      </c>
      <c r="B71" s="429" t="s">
        <v>795</v>
      </c>
      <c r="C71" s="30">
        <v>33080.1</v>
      </c>
      <c r="E71" s="2" t="s">
        <v>32</v>
      </c>
      <c r="F71" s="2" t="s">
        <v>32</v>
      </c>
    </row>
    <row r="72" spans="1:9" x14ac:dyDescent="0.25">
      <c r="A72" s="31" t="s">
        <v>796</v>
      </c>
      <c r="B72" s="43" t="s">
        <v>86</v>
      </c>
      <c r="C72" s="33">
        <f>C75+C76+C74+C73</f>
        <v>1135</v>
      </c>
    </row>
    <row r="73" spans="1:9" ht="51.75" hidden="1" x14ac:dyDescent="0.25">
      <c r="A73" s="40" t="s">
        <v>87</v>
      </c>
      <c r="B73" s="34" t="s">
        <v>88</v>
      </c>
      <c r="C73" s="35"/>
    </row>
    <row r="74" spans="1:9" ht="51" hidden="1" x14ac:dyDescent="0.25">
      <c r="A74" s="14" t="s">
        <v>89</v>
      </c>
      <c r="B74" s="38" t="s">
        <v>90</v>
      </c>
      <c r="C74" s="30"/>
    </row>
    <row r="75" spans="1:9" ht="38.25" x14ac:dyDescent="0.25">
      <c r="A75" s="14" t="s">
        <v>750</v>
      </c>
      <c r="B75" s="38" t="s">
        <v>91</v>
      </c>
      <c r="C75" s="44">
        <v>1135</v>
      </c>
      <c r="F75" s="2" t="s">
        <v>32</v>
      </c>
    </row>
    <row r="76" spans="1:9" ht="38.25" x14ac:dyDescent="0.25">
      <c r="A76" s="14" t="s">
        <v>797</v>
      </c>
      <c r="B76" s="38" t="s">
        <v>92</v>
      </c>
      <c r="C76" s="30">
        <v>0</v>
      </c>
    </row>
    <row r="77" spans="1:9" x14ac:dyDescent="0.25">
      <c r="A77" s="45"/>
      <c r="B77" s="46" t="s">
        <v>93</v>
      </c>
      <c r="C77" s="27">
        <f>C39+C13</f>
        <v>498523.39999999997</v>
      </c>
      <c r="F77" s="2" t="s">
        <v>32</v>
      </c>
    </row>
    <row r="78" spans="1:9" x14ac:dyDescent="0.25">
      <c r="B78" s="47"/>
      <c r="C78" s="48">
        <v>498523.4</v>
      </c>
      <c r="D78" s="237"/>
    </row>
    <row r="79" spans="1:9" x14ac:dyDescent="0.25">
      <c r="B79" s="47"/>
      <c r="C79" s="48">
        <f>C78-C77</f>
        <v>0</v>
      </c>
      <c r="F79" s="2" t="s">
        <v>32</v>
      </c>
    </row>
    <row r="80" spans="1:9" s="48" customFormat="1" x14ac:dyDescent="0.25">
      <c r="A80" s="2"/>
      <c r="B80" s="47"/>
      <c r="D80" s="2"/>
      <c r="E80" s="2"/>
      <c r="F80" s="2"/>
      <c r="G80" s="2"/>
    </row>
    <row r="81" spans="1:7" s="48" customFormat="1" x14ac:dyDescent="0.25">
      <c r="A81" s="2"/>
      <c r="B81" s="47"/>
      <c r="D81" s="2"/>
      <c r="E81" s="2"/>
      <c r="F81" s="2"/>
      <c r="G81" s="2" t="s">
        <v>32</v>
      </c>
    </row>
    <row r="82" spans="1:7" s="48" customFormat="1" x14ac:dyDescent="0.25">
      <c r="A82" s="2"/>
      <c r="B82" s="47"/>
      <c r="D82" s="2"/>
      <c r="E82" s="2"/>
      <c r="F82" s="2"/>
      <c r="G82" s="2"/>
    </row>
    <row r="83" spans="1:7" s="48" customFormat="1" x14ac:dyDescent="0.25">
      <c r="A83" s="2"/>
      <c r="B83" s="47"/>
      <c r="D83" s="2"/>
      <c r="E83" s="2"/>
      <c r="F83" s="2"/>
      <c r="G83" s="2"/>
    </row>
    <row r="84" spans="1:7" s="48" customFormat="1" x14ac:dyDescent="0.25">
      <c r="A84" s="2"/>
      <c r="B84" s="47"/>
      <c r="D84" s="2"/>
      <c r="E84" s="2"/>
      <c r="F84" s="2"/>
      <c r="G84" s="2"/>
    </row>
    <row r="85" spans="1:7" s="48" customFormat="1" x14ac:dyDescent="0.25">
      <c r="A85" s="2"/>
      <c r="B85" s="47"/>
      <c r="D85" s="2"/>
      <c r="E85" s="2"/>
      <c r="F85" s="2"/>
      <c r="G85" s="2"/>
    </row>
    <row r="86" spans="1:7" s="48" customFormat="1" x14ac:dyDescent="0.25">
      <c r="A86" s="2"/>
      <c r="B86" s="47"/>
      <c r="D86" s="2"/>
      <c r="E86" s="2"/>
      <c r="F86" s="2"/>
      <c r="G86" s="2"/>
    </row>
    <row r="87" spans="1:7" s="48" customFormat="1" x14ac:dyDescent="0.25">
      <c r="A87" s="2"/>
      <c r="B87" s="47"/>
      <c r="D87" s="2"/>
      <c r="E87" s="2"/>
      <c r="F87" s="2"/>
      <c r="G87" s="2"/>
    </row>
    <row r="88" spans="1:7" s="48" customFormat="1" x14ac:dyDescent="0.25">
      <c r="A88" s="2"/>
      <c r="B88" s="47"/>
      <c r="D88" s="2"/>
      <c r="E88" s="2"/>
      <c r="F88" s="2"/>
      <c r="G88" s="2"/>
    </row>
    <row r="89" spans="1:7" s="48" customFormat="1" x14ac:dyDescent="0.25">
      <c r="A89" s="2"/>
      <c r="B89" s="47"/>
      <c r="D89" s="2"/>
      <c r="E89" s="2"/>
      <c r="F89" s="2"/>
      <c r="G89" s="2"/>
    </row>
    <row r="90" spans="1:7" s="48" customFormat="1" x14ac:dyDescent="0.25">
      <c r="A90" s="2"/>
      <c r="B90" s="47"/>
      <c r="D90" s="2"/>
      <c r="E90" s="2"/>
      <c r="F90" s="2"/>
      <c r="G90" s="2"/>
    </row>
    <row r="91" spans="1:7" s="48" customFormat="1" x14ac:dyDescent="0.25">
      <c r="A91" s="2"/>
      <c r="B91" s="47"/>
      <c r="D91" s="2"/>
      <c r="E91" s="2"/>
      <c r="F91" s="2"/>
      <c r="G91" s="2"/>
    </row>
    <row r="92" spans="1:7" s="48" customFormat="1" x14ac:dyDescent="0.25">
      <c r="A92" s="2"/>
      <c r="B92" s="47"/>
      <c r="D92" s="2"/>
      <c r="E92" s="2"/>
      <c r="F92" s="2"/>
      <c r="G92" s="2"/>
    </row>
    <row r="93" spans="1:7" s="48" customFormat="1" x14ac:dyDescent="0.25">
      <c r="A93" s="2"/>
      <c r="B93" s="47"/>
      <c r="D93" s="2"/>
      <c r="E93" s="2"/>
      <c r="F93" s="2"/>
      <c r="G93" s="2"/>
    </row>
    <row r="94" spans="1:7" s="48" customFormat="1" x14ac:dyDescent="0.25">
      <c r="A94" s="2"/>
      <c r="B94" s="47"/>
      <c r="D94" s="2"/>
      <c r="E94" s="2"/>
      <c r="F94" s="2"/>
      <c r="G94" s="2"/>
    </row>
    <row r="95" spans="1:7" s="48" customFormat="1" x14ac:dyDescent="0.25">
      <c r="A95" s="2"/>
      <c r="B95" s="47"/>
      <c r="D95" s="2"/>
      <c r="E95" s="2"/>
      <c r="F95" s="2"/>
      <c r="G95" s="2"/>
    </row>
    <row r="96" spans="1:7" s="48" customFormat="1" x14ac:dyDescent="0.25">
      <c r="A96" s="2"/>
      <c r="B96" s="47"/>
      <c r="D96" s="2"/>
      <c r="E96" s="2"/>
      <c r="F96" s="2"/>
      <c r="G96" s="2"/>
    </row>
    <row r="97" spans="1:7" s="48" customFormat="1" x14ac:dyDescent="0.25">
      <c r="A97" s="2"/>
      <c r="B97" s="47"/>
      <c r="D97" s="2"/>
      <c r="E97" s="2"/>
      <c r="F97" s="2"/>
      <c r="G97" s="2"/>
    </row>
    <row r="98" spans="1:7" s="48" customFormat="1" x14ac:dyDescent="0.25">
      <c r="A98" s="2"/>
      <c r="B98" s="47"/>
      <c r="D98" s="2"/>
      <c r="E98" s="2"/>
      <c r="F98" s="2"/>
      <c r="G98" s="2"/>
    </row>
    <row r="99" spans="1:7" s="48" customFormat="1" x14ac:dyDescent="0.25">
      <c r="A99" s="2"/>
      <c r="B99" s="47"/>
      <c r="D99" s="2"/>
      <c r="E99" s="2"/>
      <c r="F99" s="2"/>
      <c r="G99" s="2"/>
    </row>
    <row r="100" spans="1:7" s="48" customFormat="1" x14ac:dyDescent="0.25">
      <c r="A100" s="2"/>
      <c r="B100" s="47"/>
      <c r="D100" s="2"/>
      <c r="E100" s="2"/>
      <c r="F100" s="2"/>
      <c r="G100" s="2"/>
    </row>
    <row r="101" spans="1:7" s="48" customFormat="1" x14ac:dyDescent="0.25">
      <c r="A101" s="2"/>
      <c r="B101" s="47"/>
      <c r="D101" s="2"/>
      <c r="E101" s="2"/>
      <c r="F101" s="2"/>
      <c r="G101" s="2"/>
    </row>
    <row r="102" spans="1:7" s="48" customFormat="1" x14ac:dyDescent="0.25">
      <c r="A102" s="2"/>
      <c r="B102" s="47"/>
      <c r="D102" s="2"/>
      <c r="E102" s="2"/>
      <c r="F102" s="2"/>
      <c r="G102" s="2"/>
    </row>
    <row r="103" spans="1:7" s="48" customFormat="1" x14ac:dyDescent="0.25">
      <c r="A103" s="2"/>
      <c r="B103" s="47"/>
      <c r="D103" s="2"/>
      <c r="E103" s="2"/>
      <c r="F103" s="2"/>
      <c r="G103" s="2"/>
    </row>
    <row r="104" spans="1:7" s="48" customFormat="1" x14ac:dyDescent="0.25">
      <c r="A104" s="2"/>
      <c r="B104" s="47"/>
      <c r="D104" s="2"/>
      <c r="E104" s="2"/>
      <c r="F104" s="2"/>
      <c r="G104" s="2"/>
    </row>
    <row r="105" spans="1:7" s="48" customFormat="1" x14ac:dyDescent="0.25">
      <c r="A105" s="2"/>
      <c r="B105" s="47"/>
      <c r="D105" s="2"/>
      <c r="E105" s="2"/>
      <c r="F105" s="2"/>
      <c r="G105" s="2"/>
    </row>
    <row r="106" spans="1:7" s="48" customFormat="1" x14ac:dyDescent="0.25">
      <c r="A106" s="2"/>
      <c r="B106" s="47"/>
      <c r="D106" s="2"/>
      <c r="E106" s="2"/>
      <c r="F106" s="2"/>
      <c r="G106" s="2"/>
    </row>
    <row r="107" spans="1:7" s="48" customFormat="1" x14ac:dyDescent="0.25">
      <c r="A107" s="2"/>
      <c r="B107" s="47"/>
      <c r="D107" s="2"/>
      <c r="E107" s="2"/>
      <c r="F107" s="2"/>
      <c r="G107" s="2"/>
    </row>
    <row r="108" spans="1:7" s="48" customFormat="1" x14ac:dyDescent="0.25">
      <c r="A108" s="2"/>
      <c r="B108" s="47"/>
      <c r="D108" s="2"/>
      <c r="E108" s="2"/>
      <c r="F108" s="2"/>
      <c r="G108" s="2"/>
    </row>
    <row r="109" spans="1:7" s="48" customFormat="1" x14ac:dyDescent="0.25">
      <c r="A109" s="2"/>
      <c r="B109" s="47"/>
      <c r="D109" s="2"/>
      <c r="E109" s="2"/>
      <c r="F109" s="2"/>
      <c r="G109" s="2"/>
    </row>
    <row r="110" spans="1:7" s="48" customFormat="1" x14ac:dyDescent="0.25">
      <c r="A110" s="2"/>
      <c r="B110" s="47"/>
      <c r="D110" s="2"/>
      <c r="E110" s="2"/>
      <c r="F110" s="2"/>
      <c r="G110" s="2"/>
    </row>
    <row r="111" spans="1:7" s="48" customFormat="1" x14ac:dyDescent="0.25">
      <c r="A111" s="2"/>
      <c r="B111" s="47"/>
      <c r="D111" s="2"/>
      <c r="E111" s="2"/>
      <c r="F111" s="2"/>
      <c r="G111" s="2"/>
    </row>
    <row r="112" spans="1:7" s="48" customFormat="1" x14ac:dyDescent="0.25">
      <c r="A112" s="2"/>
      <c r="B112" s="47"/>
      <c r="D112" s="2"/>
      <c r="E112" s="2"/>
      <c r="F112" s="2"/>
      <c r="G112" s="2"/>
    </row>
    <row r="113" spans="1:7" s="48" customFormat="1" x14ac:dyDescent="0.25">
      <c r="A113" s="2"/>
      <c r="B113" s="47"/>
      <c r="D113" s="2"/>
      <c r="E113" s="2"/>
      <c r="F113" s="2"/>
      <c r="G113" s="2"/>
    </row>
    <row r="114" spans="1:7" s="48" customFormat="1" x14ac:dyDescent="0.25">
      <c r="A114" s="2"/>
      <c r="B114" s="47"/>
      <c r="D114" s="2"/>
      <c r="E114" s="2"/>
      <c r="F114" s="2"/>
      <c r="G114" s="2"/>
    </row>
    <row r="115" spans="1:7" s="48" customFormat="1" x14ac:dyDescent="0.25">
      <c r="A115" s="2"/>
      <c r="B115" s="47"/>
      <c r="D115" s="2"/>
      <c r="E115" s="2"/>
      <c r="F115" s="2"/>
      <c r="G115" s="2"/>
    </row>
    <row r="116" spans="1:7" s="48" customFormat="1" x14ac:dyDescent="0.25">
      <c r="A116" s="2"/>
      <c r="B116" s="47"/>
      <c r="D116" s="2"/>
      <c r="E116" s="2"/>
      <c r="F116" s="2"/>
      <c r="G116" s="2"/>
    </row>
    <row r="117" spans="1:7" s="48" customFormat="1" x14ac:dyDescent="0.25">
      <c r="A117" s="2"/>
      <c r="B117" s="47"/>
      <c r="D117" s="2"/>
      <c r="E117" s="2"/>
      <c r="F117" s="2"/>
      <c r="G117" s="2"/>
    </row>
    <row r="118" spans="1:7" s="48" customFormat="1" x14ac:dyDescent="0.25">
      <c r="A118" s="2"/>
      <c r="B118" s="47"/>
      <c r="D118" s="2"/>
      <c r="E118" s="2"/>
      <c r="F118" s="2"/>
      <c r="G118" s="2"/>
    </row>
    <row r="119" spans="1:7" s="48" customFormat="1" x14ac:dyDescent="0.25">
      <c r="A119" s="2"/>
      <c r="B119" s="47"/>
      <c r="D119" s="2"/>
      <c r="E119" s="2"/>
      <c r="F119" s="2"/>
      <c r="G119" s="2"/>
    </row>
    <row r="120" spans="1:7" s="48" customFormat="1" x14ac:dyDescent="0.25">
      <c r="A120" s="2"/>
      <c r="B120" s="47"/>
      <c r="D120" s="2"/>
      <c r="E120" s="2"/>
      <c r="F120" s="2"/>
      <c r="G120" s="2"/>
    </row>
    <row r="121" spans="1:7" s="48" customFormat="1" x14ac:dyDescent="0.25">
      <c r="A121" s="2"/>
      <c r="B121" s="47"/>
      <c r="D121" s="2"/>
      <c r="E121" s="2"/>
      <c r="F121" s="2"/>
      <c r="G121" s="2"/>
    </row>
    <row r="122" spans="1:7" s="48" customFormat="1" x14ac:dyDescent="0.25">
      <c r="A122" s="2"/>
      <c r="B122" s="47"/>
      <c r="D122" s="2"/>
      <c r="E122" s="2"/>
      <c r="F122" s="2"/>
      <c r="G122" s="2"/>
    </row>
    <row r="123" spans="1:7" s="48" customFormat="1" x14ac:dyDescent="0.25">
      <c r="A123" s="2"/>
      <c r="B123" s="47"/>
      <c r="D123" s="2"/>
      <c r="E123" s="2"/>
      <c r="F123" s="2"/>
      <c r="G123" s="2"/>
    </row>
    <row r="124" spans="1:7" s="48" customFormat="1" x14ac:dyDescent="0.25">
      <c r="A124" s="2"/>
      <c r="B124" s="47"/>
      <c r="D124" s="2"/>
      <c r="E124" s="2"/>
      <c r="F124" s="2"/>
      <c r="G124" s="2"/>
    </row>
    <row r="125" spans="1:7" s="48" customFormat="1" x14ac:dyDescent="0.25">
      <c r="A125" s="2"/>
      <c r="B125" s="47"/>
      <c r="D125" s="2"/>
      <c r="E125" s="2"/>
      <c r="F125" s="2"/>
      <c r="G125" s="2"/>
    </row>
    <row r="126" spans="1:7" s="48" customFormat="1" x14ac:dyDescent="0.25">
      <c r="A126" s="2"/>
      <c r="B126" s="47"/>
      <c r="D126" s="2"/>
      <c r="E126" s="2"/>
      <c r="F126" s="2"/>
      <c r="G126" s="2"/>
    </row>
    <row r="127" spans="1:7" s="48" customFormat="1" x14ac:dyDescent="0.25">
      <c r="A127" s="2"/>
      <c r="B127" s="47"/>
      <c r="D127" s="2"/>
      <c r="E127" s="2"/>
      <c r="F127" s="2"/>
      <c r="G127" s="2"/>
    </row>
    <row r="128" spans="1:7" s="48" customFormat="1" x14ac:dyDescent="0.25">
      <c r="A128" s="2"/>
      <c r="B128" s="47"/>
      <c r="D128" s="2"/>
      <c r="E128" s="2"/>
      <c r="F128" s="2"/>
      <c r="G128" s="2"/>
    </row>
    <row r="129" spans="1:7" s="48" customFormat="1" x14ac:dyDescent="0.25">
      <c r="A129" s="2"/>
      <c r="B129" s="47"/>
      <c r="D129" s="2"/>
      <c r="E129" s="2"/>
      <c r="F129" s="2"/>
      <c r="G129" s="2"/>
    </row>
    <row r="130" spans="1:7" s="48" customFormat="1" x14ac:dyDescent="0.25">
      <c r="A130" s="2"/>
      <c r="B130" s="47"/>
      <c r="D130" s="2"/>
      <c r="E130" s="2"/>
      <c r="F130" s="2"/>
      <c r="G130" s="2"/>
    </row>
    <row r="131" spans="1:7" s="48" customFormat="1" x14ac:dyDescent="0.25">
      <c r="A131" s="2"/>
      <c r="B131" s="47"/>
      <c r="D131" s="2"/>
      <c r="E131" s="2"/>
      <c r="F131" s="2"/>
      <c r="G131" s="2"/>
    </row>
    <row r="132" spans="1:7" s="48" customFormat="1" x14ac:dyDescent="0.25">
      <c r="A132" s="2"/>
      <c r="B132" s="47"/>
      <c r="D132" s="2"/>
      <c r="E132" s="2"/>
      <c r="F132" s="2"/>
      <c r="G132" s="2"/>
    </row>
    <row r="133" spans="1:7" s="48" customFormat="1" x14ac:dyDescent="0.25">
      <c r="A133" s="2"/>
      <c r="B133" s="47"/>
      <c r="D133" s="2"/>
      <c r="E133" s="2"/>
      <c r="F133" s="2"/>
      <c r="G133" s="2"/>
    </row>
    <row r="134" spans="1:7" s="48" customFormat="1" x14ac:dyDescent="0.25">
      <c r="A134" s="2"/>
      <c r="B134" s="47"/>
      <c r="D134" s="2"/>
      <c r="E134" s="2"/>
      <c r="F134" s="2"/>
      <c r="G134" s="2"/>
    </row>
    <row r="135" spans="1:7" s="48" customFormat="1" x14ac:dyDescent="0.25">
      <c r="A135" s="2"/>
      <c r="B135" s="47"/>
      <c r="D135" s="2"/>
      <c r="E135" s="2"/>
      <c r="F135" s="2"/>
      <c r="G135" s="2"/>
    </row>
    <row r="136" spans="1:7" s="48" customFormat="1" x14ac:dyDescent="0.25">
      <c r="A136" s="2"/>
      <c r="B136" s="47"/>
      <c r="D136" s="2"/>
      <c r="E136" s="2"/>
      <c r="F136" s="2"/>
      <c r="G136" s="2"/>
    </row>
    <row r="137" spans="1:7" s="48" customFormat="1" x14ac:dyDescent="0.25">
      <c r="A137" s="2"/>
      <c r="B137" s="47"/>
      <c r="D137" s="2"/>
      <c r="E137" s="2"/>
      <c r="F137" s="2"/>
      <c r="G137" s="2"/>
    </row>
    <row r="138" spans="1:7" s="48" customFormat="1" x14ac:dyDescent="0.25">
      <c r="A138" s="2"/>
      <c r="B138" s="47"/>
      <c r="D138" s="2"/>
      <c r="E138" s="2"/>
      <c r="F138" s="2"/>
      <c r="G138" s="2"/>
    </row>
    <row r="139" spans="1:7" s="48" customFormat="1" x14ac:dyDescent="0.25">
      <c r="A139" s="2"/>
      <c r="B139" s="47"/>
      <c r="D139" s="2"/>
      <c r="E139" s="2"/>
      <c r="F139" s="2"/>
      <c r="G139" s="2"/>
    </row>
    <row r="140" spans="1:7" s="48" customFormat="1" x14ac:dyDescent="0.25">
      <c r="A140" s="2"/>
      <c r="B140" s="47"/>
      <c r="D140" s="2"/>
      <c r="E140" s="2"/>
      <c r="F140" s="2"/>
      <c r="G140" s="2"/>
    </row>
    <row r="141" spans="1:7" s="48" customFormat="1" x14ac:dyDescent="0.25">
      <c r="A141" s="2"/>
      <c r="B141" s="47"/>
      <c r="D141" s="2"/>
      <c r="E141" s="2"/>
      <c r="F141" s="2"/>
      <c r="G141" s="2"/>
    </row>
    <row r="142" spans="1:7" s="48" customFormat="1" x14ac:dyDescent="0.25">
      <c r="A142" s="2"/>
      <c r="B142" s="47"/>
      <c r="D142" s="2"/>
      <c r="E142" s="2"/>
      <c r="F142" s="2"/>
      <c r="G142" s="2"/>
    </row>
    <row r="143" spans="1:7" s="48" customFormat="1" x14ac:dyDescent="0.25">
      <c r="A143" s="2"/>
      <c r="B143" s="47"/>
      <c r="D143" s="2"/>
      <c r="E143" s="2"/>
      <c r="F143" s="2"/>
      <c r="G143" s="2"/>
    </row>
    <row r="144" spans="1:7" s="48" customFormat="1" x14ac:dyDescent="0.25">
      <c r="A144" s="2"/>
      <c r="B144" s="47"/>
      <c r="D144" s="2"/>
      <c r="E144" s="2"/>
      <c r="F144" s="2"/>
      <c r="G144" s="2"/>
    </row>
    <row r="145" spans="1:7" s="48" customFormat="1" x14ac:dyDescent="0.25">
      <c r="A145" s="2"/>
      <c r="B145" s="47"/>
      <c r="D145" s="2"/>
      <c r="E145" s="2"/>
      <c r="F145" s="2"/>
      <c r="G145" s="2"/>
    </row>
    <row r="146" spans="1:7" s="48" customFormat="1" x14ac:dyDescent="0.25">
      <c r="A146" s="2"/>
      <c r="B146" s="47"/>
      <c r="D146" s="2"/>
      <c r="E146" s="2"/>
      <c r="F146" s="2"/>
      <c r="G146" s="2"/>
    </row>
    <row r="147" spans="1:7" s="48" customFormat="1" x14ac:dyDescent="0.25">
      <c r="A147" s="2"/>
      <c r="B147" s="47"/>
      <c r="D147" s="2"/>
      <c r="E147" s="2"/>
      <c r="F147" s="2"/>
      <c r="G147" s="2"/>
    </row>
    <row r="148" spans="1:7" s="48" customFormat="1" x14ac:dyDescent="0.25">
      <c r="A148" s="2"/>
      <c r="B148" s="47"/>
      <c r="D148" s="2"/>
      <c r="E148" s="2"/>
      <c r="F148" s="2"/>
      <c r="G148" s="2"/>
    </row>
    <row r="149" spans="1:7" s="48" customFormat="1" x14ac:dyDescent="0.25">
      <c r="A149" s="2"/>
      <c r="B149" s="47"/>
      <c r="D149" s="2"/>
      <c r="E149" s="2"/>
      <c r="F149" s="2"/>
      <c r="G149" s="2"/>
    </row>
    <row r="150" spans="1:7" s="48" customFormat="1" x14ac:dyDescent="0.25">
      <c r="A150" s="2"/>
      <c r="B150" s="47"/>
      <c r="D150" s="2"/>
      <c r="E150" s="2"/>
      <c r="F150" s="2"/>
      <c r="G150" s="2"/>
    </row>
    <row r="151" spans="1:7" s="48" customFormat="1" x14ac:dyDescent="0.25">
      <c r="A151" s="2"/>
      <c r="B151" s="47"/>
      <c r="D151" s="2"/>
      <c r="E151" s="2"/>
      <c r="F151" s="2"/>
      <c r="G151" s="2"/>
    </row>
    <row r="152" spans="1:7" s="48" customFormat="1" x14ac:dyDescent="0.25">
      <c r="A152" s="2"/>
      <c r="B152" s="47"/>
      <c r="D152" s="2"/>
      <c r="E152" s="2"/>
      <c r="F152" s="2"/>
      <c r="G152" s="2"/>
    </row>
    <row r="153" spans="1:7" s="48" customFormat="1" x14ac:dyDescent="0.25">
      <c r="A153" s="2"/>
      <c r="B153" s="47"/>
      <c r="D153" s="2"/>
      <c r="E153" s="2"/>
      <c r="F153" s="2"/>
      <c r="G153" s="2"/>
    </row>
    <row r="154" spans="1:7" s="48" customFormat="1" x14ac:dyDescent="0.25">
      <c r="A154" s="2"/>
      <c r="B154" s="47"/>
      <c r="D154" s="2"/>
      <c r="E154" s="2"/>
      <c r="F154" s="2"/>
      <c r="G154" s="2"/>
    </row>
    <row r="155" spans="1:7" s="48" customFormat="1" x14ac:dyDescent="0.25">
      <c r="A155" s="2"/>
      <c r="B155" s="47"/>
      <c r="D155" s="2"/>
      <c r="E155" s="2"/>
      <c r="F155" s="2"/>
      <c r="G155" s="2"/>
    </row>
    <row r="156" spans="1:7" s="48" customFormat="1" x14ac:dyDescent="0.25">
      <c r="A156" s="2"/>
      <c r="B156" s="47"/>
      <c r="D156" s="2"/>
      <c r="E156" s="2"/>
      <c r="F156" s="2"/>
      <c r="G156" s="2"/>
    </row>
    <row r="157" spans="1:7" s="48" customFormat="1" x14ac:dyDescent="0.25">
      <c r="A157" s="2"/>
      <c r="B157" s="47"/>
      <c r="D157" s="2"/>
      <c r="E157" s="2"/>
      <c r="F157" s="2"/>
      <c r="G157" s="2"/>
    </row>
    <row r="158" spans="1:7" s="48" customFormat="1" x14ac:dyDescent="0.25">
      <c r="A158" s="2"/>
      <c r="B158" s="47"/>
      <c r="D158" s="2"/>
      <c r="E158" s="2"/>
      <c r="F158" s="2"/>
      <c r="G158" s="2"/>
    </row>
    <row r="159" spans="1:7" s="48" customFormat="1" x14ac:dyDescent="0.25">
      <c r="A159" s="2"/>
      <c r="B159" s="47"/>
      <c r="D159" s="2"/>
      <c r="E159" s="2"/>
      <c r="F159" s="2"/>
      <c r="G159" s="2"/>
    </row>
    <row r="160" spans="1:7" s="48" customFormat="1" x14ac:dyDescent="0.25">
      <c r="A160" s="2"/>
      <c r="B160" s="47"/>
      <c r="D160" s="2"/>
      <c r="E160" s="2"/>
      <c r="F160" s="2"/>
      <c r="G160" s="2"/>
    </row>
    <row r="161" spans="1:7" s="48" customFormat="1" x14ac:dyDescent="0.25">
      <c r="A161" s="2"/>
      <c r="B161" s="47"/>
      <c r="D161" s="2"/>
      <c r="E161" s="2"/>
      <c r="F161" s="2"/>
      <c r="G161" s="2"/>
    </row>
    <row r="162" spans="1:7" s="48" customFormat="1" x14ac:dyDescent="0.25">
      <c r="A162" s="2"/>
      <c r="B162" s="47"/>
      <c r="D162" s="2"/>
      <c r="E162" s="2"/>
      <c r="F162" s="2"/>
      <c r="G162" s="2"/>
    </row>
    <row r="163" spans="1:7" s="48" customFormat="1" x14ac:dyDescent="0.25">
      <c r="A163" s="2"/>
      <c r="B163" s="47"/>
      <c r="D163" s="2"/>
      <c r="E163" s="2"/>
      <c r="F163" s="2"/>
      <c r="G163" s="2"/>
    </row>
    <row r="164" spans="1:7" s="48" customFormat="1" x14ac:dyDescent="0.25">
      <c r="A164" s="2"/>
      <c r="B164" s="47"/>
      <c r="D164" s="2"/>
      <c r="E164" s="2"/>
      <c r="F164" s="2"/>
      <c r="G164" s="2"/>
    </row>
    <row r="165" spans="1:7" s="48" customFormat="1" x14ac:dyDescent="0.25">
      <c r="A165" s="2"/>
      <c r="B165" s="47"/>
      <c r="D165" s="2"/>
      <c r="E165" s="2"/>
      <c r="F165" s="2"/>
      <c r="G165" s="2"/>
    </row>
    <row r="166" spans="1:7" s="48" customFormat="1" x14ac:dyDescent="0.25">
      <c r="A166" s="2"/>
      <c r="B166" s="47"/>
      <c r="D166" s="2"/>
      <c r="E166" s="2"/>
      <c r="F166" s="2"/>
      <c r="G166" s="2"/>
    </row>
    <row r="167" spans="1:7" s="48" customFormat="1" x14ac:dyDescent="0.25">
      <c r="A167" s="2"/>
      <c r="B167" s="47"/>
      <c r="D167" s="2"/>
      <c r="E167" s="2"/>
      <c r="F167" s="2"/>
      <c r="G167" s="2"/>
    </row>
    <row r="168" spans="1:7" s="48" customFormat="1" x14ac:dyDescent="0.25">
      <c r="A168" s="2"/>
      <c r="B168" s="47"/>
      <c r="D168" s="2"/>
      <c r="E168" s="2"/>
      <c r="F168" s="2"/>
      <c r="G168" s="2"/>
    </row>
    <row r="169" spans="1:7" s="48" customFormat="1" x14ac:dyDescent="0.25">
      <c r="A169" s="2"/>
      <c r="B169" s="47"/>
      <c r="D169" s="2"/>
      <c r="E169" s="2"/>
      <c r="F169" s="2"/>
      <c r="G169" s="2"/>
    </row>
    <row r="170" spans="1:7" s="48" customFormat="1" x14ac:dyDescent="0.25">
      <c r="A170" s="2"/>
      <c r="B170" s="47"/>
      <c r="D170" s="2"/>
      <c r="E170" s="2"/>
      <c r="F170" s="2"/>
      <c r="G170" s="2"/>
    </row>
    <row r="171" spans="1:7" s="48" customFormat="1" x14ac:dyDescent="0.25">
      <c r="A171" s="2"/>
      <c r="B171" s="47"/>
      <c r="D171" s="2"/>
      <c r="E171" s="2"/>
      <c r="F171" s="2"/>
      <c r="G171" s="2"/>
    </row>
    <row r="172" spans="1:7" s="48" customFormat="1" x14ac:dyDescent="0.25">
      <c r="A172" s="2"/>
      <c r="B172" s="47"/>
      <c r="D172" s="2"/>
      <c r="E172" s="2"/>
      <c r="F172" s="2"/>
      <c r="G172" s="2"/>
    </row>
    <row r="173" spans="1:7" s="48" customFormat="1" x14ac:dyDescent="0.25">
      <c r="A173" s="2"/>
      <c r="B173" s="47"/>
      <c r="D173" s="2"/>
      <c r="E173" s="2"/>
      <c r="F173" s="2"/>
      <c r="G173" s="2"/>
    </row>
    <row r="174" spans="1:7" s="48" customFormat="1" x14ac:dyDescent="0.25">
      <c r="A174" s="2"/>
      <c r="B174" s="47"/>
      <c r="D174" s="2"/>
      <c r="E174" s="2"/>
      <c r="F174" s="2"/>
      <c r="G174" s="2"/>
    </row>
    <row r="175" spans="1:7" s="48" customFormat="1" x14ac:dyDescent="0.25">
      <c r="A175" s="2"/>
      <c r="B175" s="47"/>
      <c r="D175" s="2"/>
      <c r="E175" s="2"/>
      <c r="F175" s="2"/>
      <c r="G175" s="2"/>
    </row>
    <row r="176" spans="1:7" s="48" customFormat="1" x14ac:dyDescent="0.25">
      <c r="A176" s="2"/>
      <c r="B176" s="47"/>
      <c r="D176" s="2"/>
      <c r="E176" s="2"/>
      <c r="F176" s="2"/>
      <c r="G176" s="2"/>
    </row>
    <row r="177" spans="1:7" s="48" customFormat="1" x14ac:dyDescent="0.25">
      <c r="A177" s="2"/>
      <c r="B177" s="47"/>
      <c r="D177" s="2"/>
      <c r="E177" s="2"/>
      <c r="F177" s="2"/>
      <c r="G177" s="2"/>
    </row>
    <row r="178" spans="1:7" s="48" customFormat="1" x14ac:dyDescent="0.25">
      <c r="A178" s="2"/>
      <c r="B178" s="47"/>
      <c r="D178" s="2"/>
      <c r="E178" s="2"/>
      <c r="F178" s="2"/>
      <c r="G178" s="2"/>
    </row>
    <row r="179" spans="1:7" s="48" customFormat="1" x14ac:dyDescent="0.25">
      <c r="A179" s="2"/>
      <c r="B179" s="47"/>
      <c r="D179" s="2"/>
      <c r="E179" s="2"/>
      <c r="F179" s="2"/>
      <c r="G179" s="2"/>
    </row>
    <row r="180" spans="1:7" s="48" customFormat="1" x14ac:dyDescent="0.25">
      <c r="A180" s="2"/>
      <c r="B180" s="47"/>
      <c r="D180" s="2"/>
      <c r="E180" s="2"/>
      <c r="F180" s="2"/>
      <c r="G180" s="2"/>
    </row>
    <row r="181" spans="1:7" s="48" customFormat="1" x14ac:dyDescent="0.25">
      <c r="A181" s="2"/>
      <c r="B181" s="47"/>
      <c r="D181" s="2"/>
      <c r="E181" s="2"/>
      <c r="F181" s="2"/>
      <c r="G181" s="2"/>
    </row>
    <row r="182" spans="1:7" s="48" customFormat="1" x14ac:dyDescent="0.25">
      <c r="A182" s="2"/>
      <c r="B182" s="47"/>
      <c r="D182" s="2"/>
      <c r="E182" s="2"/>
      <c r="F182" s="2"/>
      <c r="G182" s="2"/>
    </row>
    <row r="183" spans="1:7" s="48" customFormat="1" x14ac:dyDescent="0.25">
      <c r="A183" s="2"/>
      <c r="B183" s="47"/>
      <c r="D183" s="2"/>
      <c r="E183" s="2"/>
      <c r="F183" s="2"/>
      <c r="G183" s="2"/>
    </row>
    <row r="184" spans="1:7" s="48" customFormat="1" x14ac:dyDescent="0.25">
      <c r="A184" s="2"/>
      <c r="B184" s="47"/>
      <c r="D184" s="2"/>
      <c r="E184" s="2"/>
      <c r="F184" s="2"/>
      <c r="G184" s="2"/>
    </row>
    <row r="185" spans="1:7" s="48" customFormat="1" x14ac:dyDescent="0.25">
      <c r="A185" s="2"/>
      <c r="B185" s="47"/>
      <c r="D185" s="2"/>
      <c r="E185" s="2"/>
      <c r="F185" s="2"/>
      <c r="G185" s="2"/>
    </row>
    <row r="186" spans="1:7" s="48" customFormat="1" x14ac:dyDescent="0.25">
      <c r="A186" s="2"/>
      <c r="B186" s="47"/>
      <c r="D186" s="2"/>
      <c r="E186" s="2"/>
      <c r="F186" s="2"/>
      <c r="G186" s="2"/>
    </row>
    <row r="187" spans="1:7" s="48" customFormat="1" x14ac:dyDescent="0.25">
      <c r="A187" s="2"/>
      <c r="B187" s="47"/>
      <c r="D187" s="2"/>
      <c r="E187" s="2"/>
      <c r="F187" s="2"/>
      <c r="G187" s="2"/>
    </row>
    <row r="188" spans="1:7" s="48" customFormat="1" x14ac:dyDescent="0.25">
      <c r="A188" s="2"/>
      <c r="B188" s="47"/>
      <c r="D188" s="2"/>
      <c r="E188" s="2"/>
      <c r="F188" s="2"/>
      <c r="G188" s="2"/>
    </row>
    <row r="189" spans="1:7" s="48" customFormat="1" x14ac:dyDescent="0.25">
      <c r="A189" s="2"/>
      <c r="B189" s="47"/>
      <c r="D189" s="2"/>
      <c r="E189" s="2"/>
      <c r="F189" s="2"/>
      <c r="G189" s="2"/>
    </row>
    <row r="190" spans="1:7" s="48" customFormat="1" x14ac:dyDescent="0.25">
      <c r="A190" s="2"/>
      <c r="B190" s="47"/>
      <c r="D190" s="2"/>
      <c r="E190" s="2"/>
      <c r="F190" s="2"/>
      <c r="G190" s="2"/>
    </row>
    <row r="191" spans="1:7" s="48" customFormat="1" x14ac:dyDescent="0.25">
      <c r="A191" s="2"/>
      <c r="B191" s="47"/>
      <c r="D191" s="2"/>
      <c r="E191" s="2"/>
      <c r="F191" s="2"/>
      <c r="G191" s="2"/>
    </row>
    <row r="192" spans="1:7" s="48" customFormat="1" x14ac:dyDescent="0.25">
      <c r="A192" s="2"/>
      <c r="B192" s="47"/>
      <c r="D192" s="2"/>
      <c r="E192" s="2"/>
      <c r="F192" s="2"/>
      <c r="G192" s="2"/>
    </row>
    <row r="193" spans="1:7" s="48" customFormat="1" x14ac:dyDescent="0.25">
      <c r="A193" s="2"/>
      <c r="B193" s="47"/>
      <c r="D193" s="2"/>
      <c r="E193" s="2"/>
      <c r="F193" s="2"/>
      <c r="G193" s="2"/>
    </row>
    <row r="194" spans="1:7" s="48" customFormat="1" x14ac:dyDescent="0.25">
      <c r="A194" s="2"/>
      <c r="B194" s="47"/>
      <c r="D194" s="2"/>
      <c r="E194" s="2"/>
      <c r="F194" s="2"/>
      <c r="G194" s="2"/>
    </row>
    <row r="195" spans="1:7" s="48" customFormat="1" x14ac:dyDescent="0.25">
      <c r="A195" s="2"/>
      <c r="B195" s="47"/>
      <c r="D195" s="2"/>
      <c r="E195" s="2"/>
      <c r="F195" s="2"/>
      <c r="G195" s="2"/>
    </row>
    <row r="196" spans="1:7" s="48" customFormat="1" x14ac:dyDescent="0.25">
      <c r="A196" s="2"/>
      <c r="B196" s="47"/>
      <c r="D196" s="2"/>
      <c r="E196" s="2"/>
      <c r="F196" s="2"/>
      <c r="G196" s="2"/>
    </row>
    <row r="197" spans="1:7" s="48" customFormat="1" x14ac:dyDescent="0.25">
      <c r="A197" s="2"/>
      <c r="B197" s="47"/>
      <c r="D197" s="2"/>
      <c r="E197" s="2"/>
      <c r="F197" s="2"/>
      <c r="G197" s="2"/>
    </row>
    <row r="198" spans="1:7" s="48" customFormat="1" x14ac:dyDescent="0.25">
      <c r="A198" s="2"/>
      <c r="B198" s="47"/>
      <c r="D198" s="2"/>
      <c r="E198" s="2"/>
      <c r="F198" s="2"/>
      <c r="G198" s="2"/>
    </row>
    <row r="199" spans="1:7" s="48" customFormat="1" x14ac:dyDescent="0.25">
      <c r="A199" s="2"/>
      <c r="B199" s="47"/>
      <c r="D199" s="2"/>
      <c r="E199" s="2"/>
      <c r="F199" s="2"/>
      <c r="G199" s="2"/>
    </row>
    <row r="200" spans="1:7" s="48" customFormat="1" x14ac:dyDescent="0.25">
      <c r="A200" s="2"/>
      <c r="B200" s="47"/>
      <c r="D200" s="2"/>
      <c r="E200" s="2"/>
      <c r="F200" s="2"/>
      <c r="G200" s="2"/>
    </row>
    <row r="201" spans="1:7" s="48" customFormat="1" x14ac:dyDescent="0.25">
      <c r="A201" s="2"/>
      <c r="B201" s="47"/>
      <c r="D201" s="2"/>
      <c r="E201" s="2"/>
      <c r="F201" s="2"/>
      <c r="G201" s="2"/>
    </row>
    <row r="202" spans="1:7" s="48" customFormat="1" x14ac:dyDescent="0.25">
      <c r="A202" s="2"/>
      <c r="B202" s="47"/>
      <c r="D202" s="2"/>
      <c r="E202" s="2"/>
      <c r="F202" s="2"/>
      <c r="G202" s="2"/>
    </row>
    <row r="203" spans="1:7" s="48" customFormat="1" x14ac:dyDescent="0.25">
      <c r="A203" s="2"/>
      <c r="B203" s="47"/>
      <c r="D203" s="2"/>
      <c r="E203" s="2"/>
      <c r="F203" s="2"/>
      <c r="G203" s="2"/>
    </row>
    <row r="204" spans="1:7" s="48" customFormat="1" x14ac:dyDescent="0.25">
      <c r="A204" s="2"/>
      <c r="B204" s="47"/>
      <c r="D204" s="2"/>
      <c r="E204" s="2"/>
      <c r="F204" s="2"/>
      <c r="G204" s="2"/>
    </row>
    <row r="205" spans="1:7" s="48" customFormat="1" x14ac:dyDescent="0.25">
      <c r="A205" s="2"/>
      <c r="B205" s="47"/>
      <c r="D205" s="2"/>
      <c r="E205" s="2"/>
      <c r="F205" s="2"/>
      <c r="G205" s="2"/>
    </row>
    <row r="206" spans="1:7" s="48" customFormat="1" x14ac:dyDescent="0.25">
      <c r="A206" s="2"/>
      <c r="B206" s="47"/>
      <c r="D206" s="2"/>
      <c r="E206" s="2"/>
      <c r="F206" s="2"/>
      <c r="G206" s="2"/>
    </row>
    <row r="207" spans="1:7" s="48" customFormat="1" x14ac:dyDescent="0.25">
      <c r="A207" s="2"/>
      <c r="B207" s="47"/>
      <c r="D207" s="2"/>
      <c r="E207" s="2"/>
      <c r="F207" s="2"/>
      <c r="G207" s="2"/>
    </row>
    <row r="208" spans="1:7" s="48" customFormat="1" x14ac:dyDescent="0.25">
      <c r="A208" s="2"/>
      <c r="B208" s="47"/>
      <c r="D208" s="2"/>
      <c r="E208" s="2"/>
      <c r="F208" s="2"/>
      <c r="G208" s="2"/>
    </row>
    <row r="209" spans="1:7" s="48" customFormat="1" x14ac:dyDescent="0.25">
      <c r="A209" s="2"/>
      <c r="B209" s="47"/>
      <c r="D209" s="2"/>
      <c r="E209" s="2"/>
      <c r="F209" s="2"/>
      <c r="G209" s="2"/>
    </row>
    <row r="210" spans="1:7" s="48" customFormat="1" x14ac:dyDescent="0.25">
      <c r="A210" s="2"/>
      <c r="B210" s="47"/>
      <c r="D210" s="2"/>
      <c r="E210" s="2"/>
      <c r="F210" s="2"/>
      <c r="G210" s="2"/>
    </row>
    <row r="211" spans="1:7" s="48" customFormat="1" x14ac:dyDescent="0.25">
      <c r="A211" s="2"/>
      <c r="B211" s="47"/>
      <c r="D211" s="2"/>
      <c r="E211" s="2"/>
      <c r="F211" s="2"/>
      <c r="G211" s="2"/>
    </row>
    <row r="212" spans="1:7" s="48" customFormat="1" x14ac:dyDescent="0.25">
      <c r="A212" s="2"/>
      <c r="B212" s="47"/>
      <c r="D212" s="2"/>
      <c r="E212" s="2"/>
      <c r="F212" s="2"/>
      <c r="G212" s="2"/>
    </row>
    <row r="213" spans="1:7" s="48" customFormat="1" x14ac:dyDescent="0.25">
      <c r="A213" s="2"/>
      <c r="B213" s="47"/>
      <c r="D213" s="2"/>
      <c r="E213" s="2"/>
      <c r="F213" s="2"/>
      <c r="G213" s="2"/>
    </row>
    <row r="214" spans="1:7" s="48" customFormat="1" x14ac:dyDescent="0.25">
      <c r="A214" s="2"/>
      <c r="B214" s="47"/>
      <c r="D214" s="2"/>
      <c r="E214" s="2"/>
      <c r="F214" s="2"/>
      <c r="G214" s="2"/>
    </row>
    <row r="215" spans="1:7" s="48" customFormat="1" x14ac:dyDescent="0.25">
      <c r="A215" s="2"/>
      <c r="B215" s="47"/>
      <c r="D215" s="2"/>
      <c r="E215" s="2"/>
      <c r="F215" s="2"/>
      <c r="G215" s="2"/>
    </row>
    <row r="216" spans="1:7" s="48" customFormat="1" x14ac:dyDescent="0.25">
      <c r="A216" s="2"/>
      <c r="B216" s="47"/>
      <c r="D216" s="2"/>
      <c r="E216" s="2"/>
      <c r="F216" s="2"/>
      <c r="G216" s="2"/>
    </row>
    <row r="217" spans="1:7" s="48" customFormat="1" x14ac:dyDescent="0.25">
      <c r="A217" s="2"/>
      <c r="B217" s="47"/>
      <c r="D217" s="2"/>
      <c r="E217" s="2"/>
      <c r="F217" s="2"/>
      <c r="G217" s="2"/>
    </row>
    <row r="218" spans="1:7" s="48" customFormat="1" x14ac:dyDescent="0.25">
      <c r="A218" s="2"/>
      <c r="B218" s="47"/>
      <c r="D218" s="2"/>
      <c r="E218" s="2"/>
      <c r="F218" s="2"/>
      <c r="G218" s="2"/>
    </row>
    <row r="219" spans="1:7" s="48" customFormat="1" x14ac:dyDescent="0.25">
      <c r="A219" s="2"/>
      <c r="B219" s="47"/>
      <c r="D219" s="2"/>
      <c r="E219" s="2"/>
      <c r="F219" s="2"/>
      <c r="G219" s="2"/>
    </row>
    <row r="220" spans="1:7" s="48" customFormat="1" x14ac:dyDescent="0.25">
      <c r="A220" s="2"/>
      <c r="B220" s="47"/>
      <c r="D220" s="2"/>
      <c r="E220" s="2"/>
      <c r="F220" s="2"/>
      <c r="G220" s="2"/>
    </row>
    <row r="221" spans="1:7" s="48" customFormat="1" x14ac:dyDescent="0.25">
      <c r="A221" s="2"/>
      <c r="B221" s="47"/>
      <c r="D221" s="2"/>
      <c r="E221" s="2"/>
      <c r="F221" s="2"/>
      <c r="G221" s="2"/>
    </row>
    <row r="222" spans="1:7" s="48" customFormat="1" x14ac:dyDescent="0.25">
      <c r="A222" s="2"/>
      <c r="B222" s="47"/>
      <c r="D222" s="2"/>
      <c r="E222" s="2"/>
      <c r="F222" s="2"/>
      <c r="G222" s="2"/>
    </row>
    <row r="223" spans="1:7" s="48" customFormat="1" x14ac:dyDescent="0.25">
      <c r="A223" s="2"/>
      <c r="B223" s="47"/>
      <c r="D223" s="2"/>
      <c r="E223" s="2"/>
      <c r="F223" s="2"/>
      <c r="G223" s="2"/>
    </row>
    <row r="224" spans="1:7" s="48" customFormat="1" x14ac:dyDescent="0.25">
      <c r="A224" s="2"/>
      <c r="B224" s="47"/>
      <c r="D224" s="2"/>
      <c r="E224" s="2"/>
      <c r="F224" s="2"/>
      <c r="G224" s="2"/>
    </row>
    <row r="225" spans="1:7" s="48" customFormat="1" x14ac:dyDescent="0.25">
      <c r="A225" s="2"/>
      <c r="B225" s="47"/>
      <c r="D225" s="2"/>
      <c r="E225" s="2"/>
      <c r="F225" s="2"/>
      <c r="G225" s="2"/>
    </row>
    <row r="226" spans="1:7" s="48" customFormat="1" x14ac:dyDescent="0.25">
      <c r="A226" s="2"/>
      <c r="B226" s="47"/>
      <c r="D226" s="2"/>
      <c r="E226" s="2"/>
      <c r="F226" s="2"/>
      <c r="G226" s="2"/>
    </row>
    <row r="227" spans="1:7" s="48" customFormat="1" x14ac:dyDescent="0.25">
      <c r="A227" s="2"/>
      <c r="B227" s="47"/>
      <c r="D227" s="2"/>
      <c r="E227" s="2"/>
      <c r="F227" s="2"/>
      <c r="G227" s="2"/>
    </row>
    <row r="228" spans="1:7" s="48" customFormat="1" x14ac:dyDescent="0.25">
      <c r="A228" s="2"/>
      <c r="B228" s="47"/>
      <c r="D228" s="2"/>
      <c r="E228" s="2"/>
      <c r="F228" s="2"/>
      <c r="G228" s="2"/>
    </row>
    <row r="229" spans="1:7" s="48" customFormat="1" x14ac:dyDescent="0.25">
      <c r="A229" s="2"/>
      <c r="B229" s="47"/>
      <c r="D229" s="2"/>
      <c r="E229" s="2"/>
      <c r="F229" s="2"/>
      <c r="G229" s="2"/>
    </row>
    <row r="230" spans="1:7" s="48" customFormat="1" x14ac:dyDescent="0.25">
      <c r="A230" s="2"/>
      <c r="B230" s="47"/>
      <c r="D230" s="2"/>
      <c r="E230" s="2"/>
      <c r="F230" s="2"/>
      <c r="G230" s="2"/>
    </row>
    <row r="231" spans="1:7" s="48" customFormat="1" x14ac:dyDescent="0.25">
      <c r="A231" s="2"/>
      <c r="B231" s="47"/>
      <c r="D231" s="2"/>
      <c r="E231" s="2"/>
      <c r="F231" s="2"/>
      <c r="G231" s="2"/>
    </row>
    <row r="232" spans="1:7" s="48" customFormat="1" x14ac:dyDescent="0.25">
      <c r="A232" s="2"/>
      <c r="B232" s="47"/>
      <c r="D232" s="2"/>
      <c r="E232" s="2"/>
      <c r="F232" s="2"/>
      <c r="G232" s="2"/>
    </row>
    <row r="233" spans="1:7" s="48" customFormat="1" x14ac:dyDescent="0.25">
      <c r="A233" s="2"/>
      <c r="B233" s="47"/>
      <c r="D233" s="2"/>
      <c r="E233" s="2"/>
      <c r="F233" s="2"/>
      <c r="G233" s="2"/>
    </row>
    <row r="234" spans="1:7" s="48" customFormat="1" x14ac:dyDescent="0.25">
      <c r="A234" s="2"/>
      <c r="B234" s="47"/>
      <c r="D234" s="2"/>
      <c r="E234" s="2"/>
      <c r="F234" s="2"/>
      <c r="G234" s="2"/>
    </row>
    <row r="235" spans="1:7" s="48" customFormat="1" x14ac:dyDescent="0.25">
      <c r="A235" s="2"/>
      <c r="B235" s="47"/>
      <c r="D235" s="2"/>
      <c r="E235" s="2"/>
      <c r="F235" s="2"/>
      <c r="G235" s="2"/>
    </row>
    <row r="236" spans="1:7" s="48" customFormat="1" x14ac:dyDescent="0.25">
      <c r="A236" s="2"/>
      <c r="B236" s="47"/>
      <c r="D236" s="2"/>
      <c r="E236" s="2"/>
      <c r="F236" s="2"/>
      <c r="G236" s="2"/>
    </row>
    <row r="237" spans="1:7" s="48" customFormat="1" x14ac:dyDescent="0.25">
      <c r="A237" s="2"/>
      <c r="B237" s="47"/>
      <c r="D237" s="2"/>
      <c r="E237" s="2"/>
      <c r="F237" s="2"/>
      <c r="G237" s="2"/>
    </row>
    <row r="238" spans="1:7" s="48" customFormat="1" x14ac:dyDescent="0.25">
      <c r="A238" s="2"/>
      <c r="B238" s="47"/>
      <c r="D238" s="2"/>
      <c r="E238" s="2"/>
      <c r="F238" s="2"/>
      <c r="G238" s="2"/>
    </row>
    <row r="239" spans="1:7" s="48" customFormat="1" x14ac:dyDescent="0.25">
      <c r="A239" s="2"/>
      <c r="B239" s="47"/>
      <c r="D239" s="2"/>
      <c r="E239" s="2"/>
      <c r="F239" s="2"/>
      <c r="G239" s="2"/>
    </row>
    <row r="240" spans="1:7" s="48" customFormat="1" x14ac:dyDescent="0.25">
      <c r="A240" s="2"/>
      <c r="B240" s="47"/>
      <c r="D240" s="2"/>
      <c r="E240" s="2"/>
      <c r="F240" s="2"/>
      <c r="G240" s="2"/>
    </row>
    <row r="241" spans="1:7" s="48" customFormat="1" x14ac:dyDescent="0.25">
      <c r="A241" s="2"/>
      <c r="B241" s="47"/>
      <c r="D241" s="2"/>
      <c r="E241" s="2"/>
      <c r="F241" s="2"/>
      <c r="G241" s="2"/>
    </row>
    <row r="242" spans="1:7" s="48" customFormat="1" x14ac:dyDescent="0.25">
      <c r="A242" s="2"/>
      <c r="B242" s="47"/>
      <c r="D242" s="2"/>
      <c r="E242" s="2"/>
      <c r="F242" s="2"/>
      <c r="G242" s="2"/>
    </row>
    <row r="243" spans="1:7" s="48" customFormat="1" x14ac:dyDescent="0.25">
      <c r="A243" s="2"/>
      <c r="B243" s="47"/>
      <c r="D243" s="2"/>
      <c r="E243" s="2"/>
      <c r="F243" s="2"/>
      <c r="G243" s="2"/>
    </row>
    <row r="244" spans="1:7" s="48" customFormat="1" x14ac:dyDescent="0.25">
      <c r="A244" s="2"/>
      <c r="B244" s="47"/>
      <c r="D244" s="2"/>
      <c r="E244" s="2"/>
      <c r="F244" s="2"/>
      <c r="G244" s="2"/>
    </row>
    <row r="245" spans="1:7" s="48" customFormat="1" x14ac:dyDescent="0.25">
      <c r="A245" s="2"/>
      <c r="B245" s="47"/>
      <c r="D245" s="2"/>
      <c r="E245" s="2"/>
      <c r="F245" s="2"/>
      <c r="G245" s="2"/>
    </row>
    <row r="246" spans="1:7" s="48" customFormat="1" x14ac:dyDescent="0.25">
      <c r="A246" s="2"/>
      <c r="B246" s="47"/>
      <c r="D246" s="2"/>
      <c r="E246" s="2"/>
      <c r="F246" s="2"/>
      <c r="G246" s="2"/>
    </row>
    <row r="247" spans="1:7" s="48" customFormat="1" x14ac:dyDescent="0.25">
      <c r="A247" s="2"/>
      <c r="B247" s="47"/>
      <c r="D247" s="2"/>
      <c r="E247" s="2"/>
      <c r="F247" s="2"/>
      <c r="G247" s="2"/>
    </row>
    <row r="248" spans="1:7" s="48" customFormat="1" x14ac:dyDescent="0.25">
      <c r="A248" s="2"/>
      <c r="B248" s="47"/>
      <c r="D248" s="2"/>
      <c r="E248" s="2"/>
      <c r="F248" s="2"/>
      <c r="G248" s="2"/>
    </row>
    <row r="249" spans="1:7" s="48" customFormat="1" x14ac:dyDescent="0.25">
      <c r="A249" s="2"/>
      <c r="B249" s="47"/>
      <c r="D249" s="2"/>
      <c r="E249" s="2"/>
      <c r="F249" s="2"/>
      <c r="G249" s="2"/>
    </row>
    <row r="250" spans="1:7" s="48" customFormat="1" x14ac:dyDescent="0.25">
      <c r="A250" s="2"/>
      <c r="B250" s="47"/>
      <c r="D250" s="2"/>
      <c r="E250" s="2"/>
      <c r="F250" s="2"/>
      <c r="G250" s="2"/>
    </row>
    <row r="251" spans="1:7" s="48" customFormat="1" x14ac:dyDescent="0.25">
      <c r="A251" s="2"/>
      <c r="B251" s="47"/>
      <c r="D251" s="2"/>
      <c r="E251" s="2"/>
      <c r="F251" s="2"/>
      <c r="G251" s="2"/>
    </row>
    <row r="252" spans="1:7" s="48" customFormat="1" x14ac:dyDescent="0.25">
      <c r="A252" s="2"/>
      <c r="B252" s="47"/>
      <c r="D252" s="2"/>
      <c r="E252" s="2"/>
      <c r="F252" s="2"/>
      <c r="G252" s="2"/>
    </row>
    <row r="253" spans="1:7" s="48" customFormat="1" x14ac:dyDescent="0.25">
      <c r="A253" s="2"/>
      <c r="B253" s="47"/>
      <c r="D253" s="2"/>
      <c r="E253" s="2"/>
      <c r="F253" s="2"/>
      <c r="G253" s="2"/>
    </row>
    <row r="254" spans="1:7" s="48" customFormat="1" x14ac:dyDescent="0.25">
      <c r="A254" s="2"/>
      <c r="B254" s="47"/>
      <c r="D254" s="2"/>
      <c r="E254" s="2"/>
      <c r="F254" s="2"/>
      <c r="G254" s="2"/>
    </row>
    <row r="255" spans="1:7" s="48" customFormat="1" x14ac:dyDescent="0.25">
      <c r="A255" s="2"/>
      <c r="B255" s="47"/>
      <c r="D255" s="2"/>
      <c r="E255" s="2"/>
      <c r="F255" s="2"/>
      <c r="G255" s="2"/>
    </row>
    <row r="256" spans="1:7" s="48" customFormat="1" x14ac:dyDescent="0.25">
      <c r="A256" s="2"/>
      <c r="B256" s="47"/>
      <c r="D256" s="2"/>
      <c r="E256" s="2"/>
      <c r="F256" s="2"/>
      <c r="G256" s="2"/>
    </row>
    <row r="257" spans="1:7" s="48" customFormat="1" x14ac:dyDescent="0.25">
      <c r="A257" s="2"/>
      <c r="B257" s="47"/>
      <c r="D257" s="2"/>
      <c r="E257" s="2"/>
      <c r="F257" s="2"/>
      <c r="G257" s="2"/>
    </row>
    <row r="258" spans="1:7" s="48" customFormat="1" x14ac:dyDescent="0.25">
      <c r="A258" s="2"/>
      <c r="B258" s="47"/>
      <c r="D258" s="2"/>
      <c r="E258" s="2"/>
      <c r="F258" s="2"/>
      <c r="G258" s="2"/>
    </row>
    <row r="259" spans="1:7" s="48" customFormat="1" x14ac:dyDescent="0.25">
      <c r="A259" s="2"/>
      <c r="B259" s="47"/>
      <c r="D259" s="2"/>
      <c r="E259" s="2"/>
      <c r="F259" s="2"/>
      <c r="G259" s="2"/>
    </row>
    <row r="260" spans="1:7" s="48" customFormat="1" x14ac:dyDescent="0.25">
      <c r="A260" s="2"/>
      <c r="B260" s="47"/>
      <c r="D260" s="2"/>
      <c r="E260" s="2"/>
      <c r="F260" s="2"/>
      <c r="G260" s="2"/>
    </row>
    <row r="261" spans="1:7" s="48" customFormat="1" x14ac:dyDescent="0.25">
      <c r="A261" s="2"/>
      <c r="B261" s="47"/>
      <c r="D261" s="2"/>
      <c r="E261" s="2"/>
      <c r="F261" s="2"/>
      <c r="G261" s="2"/>
    </row>
    <row r="262" spans="1:7" s="48" customFormat="1" x14ac:dyDescent="0.25">
      <c r="A262" s="2"/>
      <c r="B262" s="47"/>
      <c r="D262" s="2"/>
      <c r="E262" s="2"/>
      <c r="F262" s="2"/>
      <c r="G262" s="2"/>
    </row>
    <row r="263" spans="1:7" s="48" customFormat="1" x14ac:dyDescent="0.25">
      <c r="A263" s="2"/>
      <c r="B263" s="47"/>
      <c r="D263" s="2"/>
      <c r="E263" s="2"/>
      <c r="F263" s="2"/>
      <c r="G263" s="2"/>
    </row>
    <row r="264" spans="1:7" s="48" customFormat="1" x14ac:dyDescent="0.25">
      <c r="A264" s="2"/>
      <c r="B264" s="47"/>
      <c r="D264" s="2"/>
      <c r="E264" s="2"/>
      <c r="F264" s="2"/>
      <c r="G264" s="2"/>
    </row>
    <row r="265" spans="1:7" s="48" customFormat="1" x14ac:dyDescent="0.25">
      <c r="A265" s="2"/>
      <c r="B265" s="47"/>
      <c r="D265" s="2"/>
      <c r="E265" s="2"/>
      <c r="F265" s="2"/>
      <c r="G265" s="2"/>
    </row>
    <row r="266" spans="1:7" s="48" customFormat="1" x14ac:dyDescent="0.25">
      <c r="A266" s="2"/>
      <c r="B266" s="47"/>
      <c r="D266" s="2"/>
      <c r="E266" s="2"/>
      <c r="F266" s="2"/>
      <c r="G266" s="2"/>
    </row>
    <row r="267" spans="1:7" s="48" customFormat="1" x14ac:dyDescent="0.25">
      <c r="A267" s="2"/>
      <c r="B267" s="47"/>
      <c r="D267" s="2"/>
      <c r="E267" s="2"/>
      <c r="F267" s="2"/>
      <c r="G267" s="2"/>
    </row>
    <row r="268" spans="1:7" s="48" customFormat="1" x14ac:dyDescent="0.25">
      <c r="A268" s="2"/>
      <c r="B268" s="47"/>
      <c r="D268" s="2"/>
      <c r="E268" s="2"/>
      <c r="F268" s="2"/>
      <c r="G268" s="2"/>
    </row>
    <row r="269" spans="1:7" s="48" customFormat="1" x14ac:dyDescent="0.25">
      <c r="A269" s="2"/>
      <c r="B269" s="47"/>
      <c r="D269" s="2"/>
      <c r="E269" s="2"/>
      <c r="F269" s="2"/>
      <c r="G269" s="2"/>
    </row>
    <row r="270" spans="1:7" s="48" customFormat="1" x14ac:dyDescent="0.25">
      <c r="A270" s="2"/>
      <c r="B270" s="47"/>
      <c r="D270" s="2"/>
      <c r="E270" s="2"/>
      <c r="F270" s="2"/>
      <c r="G270" s="2"/>
    </row>
    <row r="271" spans="1:7" s="48" customFormat="1" x14ac:dyDescent="0.25">
      <c r="A271" s="2"/>
      <c r="B271" s="47"/>
      <c r="D271" s="2"/>
      <c r="E271" s="2"/>
      <c r="F271" s="2"/>
      <c r="G271" s="2"/>
    </row>
    <row r="272" spans="1:7" s="48" customFormat="1" x14ac:dyDescent="0.25">
      <c r="A272" s="2"/>
      <c r="B272" s="47"/>
      <c r="D272" s="2"/>
      <c r="E272" s="2"/>
      <c r="F272" s="2"/>
      <c r="G272" s="2"/>
    </row>
    <row r="273" spans="1:7" s="48" customFormat="1" x14ac:dyDescent="0.25">
      <c r="A273" s="2"/>
      <c r="B273" s="47"/>
      <c r="D273" s="2"/>
      <c r="E273" s="2"/>
      <c r="F273" s="2"/>
      <c r="G273" s="2"/>
    </row>
    <row r="274" spans="1:7" s="48" customFormat="1" x14ac:dyDescent="0.25">
      <c r="A274" s="2"/>
      <c r="B274" s="47"/>
      <c r="D274" s="2"/>
      <c r="E274" s="2"/>
      <c r="F274" s="2"/>
      <c r="G274" s="2"/>
    </row>
    <row r="275" spans="1:7" s="48" customFormat="1" x14ac:dyDescent="0.25">
      <c r="A275" s="2"/>
      <c r="B275" s="47"/>
      <c r="D275" s="2"/>
      <c r="E275" s="2"/>
      <c r="F275" s="2"/>
      <c r="G275" s="2"/>
    </row>
    <row r="276" spans="1:7" s="48" customFormat="1" x14ac:dyDescent="0.25">
      <c r="A276" s="2"/>
      <c r="B276" s="47"/>
      <c r="D276" s="2"/>
      <c r="E276" s="2"/>
      <c r="F276" s="2"/>
      <c r="G276" s="2"/>
    </row>
    <row r="277" spans="1:7" s="48" customFormat="1" x14ac:dyDescent="0.25">
      <c r="A277" s="2"/>
      <c r="B277" s="47"/>
      <c r="D277" s="2"/>
      <c r="E277" s="2"/>
      <c r="F277" s="2"/>
      <c r="G277" s="2"/>
    </row>
    <row r="278" spans="1:7" s="48" customFormat="1" x14ac:dyDescent="0.25">
      <c r="A278" s="2"/>
      <c r="B278" s="47"/>
      <c r="D278" s="2"/>
      <c r="E278" s="2"/>
      <c r="F278" s="2"/>
      <c r="G278" s="2"/>
    </row>
    <row r="279" spans="1:7" s="48" customFormat="1" x14ac:dyDescent="0.25">
      <c r="A279" s="2"/>
      <c r="B279" s="47"/>
      <c r="D279" s="2"/>
      <c r="E279" s="2"/>
      <c r="F279" s="2"/>
      <c r="G279" s="2"/>
    </row>
    <row r="280" spans="1:7" s="48" customFormat="1" x14ac:dyDescent="0.25">
      <c r="A280" s="2"/>
      <c r="B280" s="47"/>
      <c r="D280" s="2"/>
      <c r="E280" s="2"/>
      <c r="F280" s="2"/>
      <c r="G280" s="2"/>
    </row>
  </sheetData>
  <mergeCells count="9">
    <mergeCell ref="A1:C1"/>
    <mergeCell ref="A10:C10"/>
    <mergeCell ref="A8:C8"/>
    <mergeCell ref="A7:C7"/>
    <mergeCell ref="A6:C6"/>
    <mergeCell ref="A5:C5"/>
    <mergeCell ref="A4:C4"/>
    <mergeCell ref="A3:C3"/>
    <mergeCell ref="A2:C2"/>
  </mergeCells>
  <pageMargins left="0.7" right="0.7" top="0.75" bottom="0.75" header="0.3" footer="0.3"/>
  <pageSetup paperSize="9" scale="7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6"/>
  <sheetViews>
    <sheetView workbookViewId="0">
      <selection activeCell="I27" sqref="I27"/>
    </sheetView>
  </sheetViews>
  <sheetFormatPr defaultRowHeight="12.75" x14ac:dyDescent="0.2"/>
  <cols>
    <col min="1" max="1" width="4.7109375" style="238" customWidth="1"/>
    <col min="2" max="2" width="31.85546875" style="238" customWidth="1"/>
    <col min="3" max="3" width="14.5703125" style="238" customWidth="1"/>
    <col min="4" max="4" width="13.28515625" style="238" customWidth="1"/>
    <col min="5" max="5" width="4.28515625" style="238" hidden="1" customWidth="1"/>
    <col min="6" max="6" width="13.42578125" style="238" customWidth="1"/>
    <col min="7" max="256" width="9.140625" style="238"/>
    <col min="257" max="257" width="4.7109375" style="238" customWidth="1"/>
    <col min="258" max="258" width="31.85546875" style="238" customWidth="1"/>
    <col min="259" max="259" width="14.5703125" style="238" customWidth="1"/>
    <col min="260" max="260" width="13.28515625" style="238" customWidth="1"/>
    <col min="261" max="261" width="0" style="238" hidden="1" customWidth="1"/>
    <col min="262" max="262" width="13.42578125" style="238" customWidth="1"/>
    <col min="263" max="512" width="9.140625" style="238"/>
    <col min="513" max="513" width="4.7109375" style="238" customWidth="1"/>
    <col min="514" max="514" width="31.85546875" style="238" customWidth="1"/>
    <col min="515" max="515" width="14.5703125" style="238" customWidth="1"/>
    <col min="516" max="516" width="13.28515625" style="238" customWidth="1"/>
    <col min="517" max="517" width="0" style="238" hidden="1" customWidth="1"/>
    <col min="518" max="518" width="13.42578125" style="238" customWidth="1"/>
    <col min="519" max="768" width="9.140625" style="238"/>
    <col min="769" max="769" width="4.7109375" style="238" customWidth="1"/>
    <col min="770" max="770" width="31.85546875" style="238" customWidth="1"/>
    <col min="771" max="771" width="14.5703125" style="238" customWidth="1"/>
    <col min="772" max="772" width="13.28515625" style="238" customWidth="1"/>
    <col min="773" max="773" width="0" style="238" hidden="1" customWidth="1"/>
    <col min="774" max="774" width="13.42578125" style="238" customWidth="1"/>
    <col min="775" max="1024" width="9.140625" style="238"/>
    <col min="1025" max="1025" width="4.7109375" style="238" customWidth="1"/>
    <col min="1026" max="1026" width="31.85546875" style="238" customWidth="1"/>
    <col min="1027" max="1027" width="14.5703125" style="238" customWidth="1"/>
    <col min="1028" max="1028" width="13.28515625" style="238" customWidth="1"/>
    <col min="1029" max="1029" width="0" style="238" hidden="1" customWidth="1"/>
    <col min="1030" max="1030" width="13.42578125" style="238" customWidth="1"/>
    <col min="1031" max="1280" width="9.140625" style="238"/>
    <col min="1281" max="1281" width="4.7109375" style="238" customWidth="1"/>
    <col min="1282" max="1282" width="31.85546875" style="238" customWidth="1"/>
    <col min="1283" max="1283" width="14.5703125" style="238" customWidth="1"/>
    <col min="1284" max="1284" width="13.28515625" style="238" customWidth="1"/>
    <col min="1285" max="1285" width="0" style="238" hidden="1" customWidth="1"/>
    <col min="1286" max="1286" width="13.42578125" style="238" customWidth="1"/>
    <col min="1287" max="1536" width="9.140625" style="238"/>
    <col min="1537" max="1537" width="4.7109375" style="238" customWidth="1"/>
    <col min="1538" max="1538" width="31.85546875" style="238" customWidth="1"/>
    <col min="1539" max="1539" width="14.5703125" style="238" customWidth="1"/>
    <col min="1540" max="1540" width="13.28515625" style="238" customWidth="1"/>
    <col min="1541" max="1541" width="0" style="238" hidden="1" customWidth="1"/>
    <col min="1542" max="1542" width="13.42578125" style="238" customWidth="1"/>
    <col min="1543" max="1792" width="9.140625" style="238"/>
    <col min="1793" max="1793" width="4.7109375" style="238" customWidth="1"/>
    <col min="1794" max="1794" width="31.85546875" style="238" customWidth="1"/>
    <col min="1795" max="1795" width="14.5703125" style="238" customWidth="1"/>
    <col min="1796" max="1796" width="13.28515625" style="238" customWidth="1"/>
    <col min="1797" max="1797" width="0" style="238" hidden="1" customWidth="1"/>
    <col min="1798" max="1798" width="13.42578125" style="238" customWidth="1"/>
    <col min="1799" max="2048" width="9.140625" style="238"/>
    <col min="2049" max="2049" width="4.7109375" style="238" customWidth="1"/>
    <col min="2050" max="2050" width="31.85546875" style="238" customWidth="1"/>
    <col min="2051" max="2051" width="14.5703125" style="238" customWidth="1"/>
    <col min="2052" max="2052" width="13.28515625" style="238" customWidth="1"/>
    <col min="2053" max="2053" width="0" style="238" hidden="1" customWidth="1"/>
    <col min="2054" max="2054" width="13.42578125" style="238" customWidth="1"/>
    <col min="2055" max="2304" width="9.140625" style="238"/>
    <col min="2305" max="2305" width="4.7109375" style="238" customWidth="1"/>
    <col min="2306" max="2306" width="31.85546875" style="238" customWidth="1"/>
    <col min="2307" max="2307" width="14.5703125" style="238" customWidth="1"/>
    <col min="2308" max="2308" width="13.28515625" style="238" customWidth="1"/>
    <col min="2309" max="2309" width="0" style="238" hidden="1" customWidth="1"/>
    <col min="2310" max="2310" width="13.42578125" style="238" customWidth="1"/>
    <col min="2311" max="2560" width="9.140625" style="238"/>
    <col min="2561" max="2561" width="4.7109375" style="238" customWidth="1"/>
    <col min="2562" max="2562" width="31.85546875" style="238" customWidth="1"/>
    <col min="2563" max="2563" width="14.5703125" style="238" customWidth="1"/>
    <col min="2564" max="2564" width="13.28515625" style="238" customWidth="1"/>
    <col min="2565" max="2565" width="0" style="238" hidden="1" customWidth="1"/>
    <col min="2566" max="2566" width="13.42578125" style="238" customWidth="1"/>
    <col min="2567" max="2816" width="9.140625" style="238"/>
    <col min="2817" max="2817" width="4.7109375" style="238" customWidth="1"/>
    <col min="2818" max="2818" width="31.85546875" style="238" customWidth="1"/>
    <col min="2819" max="2819" width="14.5703125" style="238" customWidth="1"/>
    <col min="2820" max="2820" width="13.28515625" style="238" customWidth="1"/>
    <col min="2821" max="2821" width="0" style="238" hidden="1" customWidth="1"/>
    <col min="2822" max="2822" width="13.42578125" style="238" customWidth="1"/>
    <col min="2823" max="3072" width="9.140625" style="238"/>
    <col min="3073" max="3073" width="4.7109375" style="238" customWidth="1"/>
    <col min="3074" max="3074" width="31.85546875" style="238" customWidth="1"/>
    <col min="3075" max="3075" width="14.5703125" style="238" customWidth="1"/>
    <col min="3076" max="3076" width="13.28515625" style="238" customWidth="1"/>
    <col min="3077" max="3077" width="0" style="238" hidden="1" customWidth="1"/>
    <col min="3078" max="3078" width="13.42578125" style="238" customWidth="1"/>
    <col min="3079" max="3328" width="9.140625" style="238"/>
    <col min="3329" max="3329" width="4.7109375" style="238" customWidth="1"/>
    <col min="3330" max="3330" width="31.85546875" style="238" customWidth="1"/>
    <col min="3331" max="3331" width="14.5703125" style="238" customWidth="1"/>
    <col min="3332" max="3332" width="13.28515625" style="238" customWidth="1"/>
    <col min="3333" max="3333" width="0" style="238" hidden="1" customWidth="1"/>
    <col min="3334" max="3334" width="13.42578125" style="238" customWidth="1"/>
    <col min="3335" max="3584" width="9.140625" style="238"/>
    <col min="3585" max="3585" width="4.7109375" style="238" customWidth="1"/>
    <col min="3586" max="3586" width="31.85546875" style="238" customWidth="1"/>
    <col min="3587" max="3587" width="14.5703125" style="238" customWidth="1"/>
    <col min="3588" max="3588" width="13.28515625" style="238" customWidth="1"/>
    <col min="3589" max="3589" width="0" style="238" hidden="1" customWidth="1"/>
    <col min="3590" max="3590" width="13.42578125" style="238" customWidth="1"/>
    <col min="3591" max="3840" width="9.140625" style="238"/>
    <col min="3841" max="3841" width="4.7109375" style="238" customWidth="1"/>
    <col min="3842" max="3842" width="31.85546875" style="238" customWidth="1"/>
    <col min="3843" max="3843" width="14.5703125" style="238" customWidth="1"/>
    <col min="3844" max="3844" width="13.28515625" style="238" customWidth="1"/>
    <col min="3845" max="3845" width="0" style="238" hidden="1" customWidth="1"/>
    <col min="3846" max="3846" width="13.42578125" style="238" customWidth="1"/>
    <col min="3847" max="4096" width="9.140625" style="238"/>
    <col min="4097" max="4097" width="4.7109375" style="238" customWidth="1"/>
    <col min="4098" max="4098" width="31.85546875" style="238" customWidth="1"/>
    <col min="4099" max="4099" width="14.5703125" style="238" customWidth="1"/>
    <col min="4100" max="4100" width="13.28515625" style="238" customWidth="1"/>
    <col min="4101" max="4101" width="0" style="238" hidden="1" customWidth="1"/>
    <col min="4102" max="4102" width="13.42578125" style="238" customWidth="1"/>
    <col min="4103" max="4352" width="9.140625" style="238"/>
    <col min="4353" max="4353" width="4.7109375" style="238" customWidth="1"/>
    <col min="4354" max="4354" width="31.85546875" style="238" customWidth="1"/>
    <col min="4355" max="4355" width="14.5703125" style="238" customWidth="1"/>
    <col min="4356" max="4356" width="13.28515625" style="238" customWidth="1"/>
    <col min="4357" max="4357" width="0" style="238" hidden="1" customWidth="1"/>
    <col min="4358" max="4358" width="13.42578125" style="238" customWidth="1"/>
    <col min="4359" max="4608" width="9.140625" style="238"/>
    <col min="4609" max="4609" width="4.7109375" style="238" customWidth="1"/>
    <col min="4610" max="4610" width="31.85546875" style="238" customWidth="1"/>
    <col min="4611" max="4611" width="14.5703125" style="238" customWidth="1"/>
    <col min="4612" max="4612" width="13.28515625" style="238" customWidth="1"/>
    <col min="4613" max="4613" width="0" style="238" hidden="1" customWidth="1"/>
    <col min="4614" max="4614" width="13.42578125" style="238" customWidth="1"/>
    <col min="4615" max="4864" width="9.140625" style="238"/>
    <col min="4865" max="4865" width="4.7109375" style="238" customWidth="1"/>
    <col min="4866" max="4866" width="31.85546875" style="238" customWidth="1"/>
    <col min="4867" max="4867" width="14.5703125" style="238" customWidth="1"/>
    <col min="4868" max="4868" width="13.28515625" style="238" customWidth="1"/>
    <col min="4869" max="4869" width="0" style="238" hidden="1" customWidth="1"/>
    <col min="4870" max="4870" width="13.42578125" style="238" customWidth="1"/>
    <col min="4871" max="5120" width="9.140625" style="238"/>
    <col min="5121" max="5121" width="4.7109375" style="238" customWidth="1"/>
    <col min="5122" max="5122" width="31.85546875" style="238" customWidth="1"/>
    <col min="5123" max="5123" width="14.5703125" style="238" customWidth="1"/>
    <col min="5124" max="5124" width="13.28515625" style="238" customWidth="1"/>
    <col min="5125" max="5125" width="0" style="238" hidden="1" customWidth="1"/>
    <col min="5126" max="5126" width="13.42578125" style="238" customWidth="1"/>
    <col min="5127" max="5376" width="9.140625" style="238"/>
    <col min="5377" max="5377" width="4.7109375" style="238" customWidth="1"/>
    <col min="5378" max="5378" width="31.85546875" style="238" customWidth="1"/>
    <col min="5379" max="5379" width="14.5703125" style="238" customWidth="1"/>
    <col min="5380" max="5380" width="13.28515625" style="238" customWidth="1"/>
    <col min="5381" max="5381" width="0" style="238" hidden="1" customWidth="1"/>
    <col min="5382" max="5382" width="13.42578125" style="238" customWidth="1"/>
    <col min="5383" max="5632" width="9.140625" style="238"/>
    <col min="5633" max="5633" width="4.7109375" style="238" customWidth="1"/>
    <col min="5634" max="5634" width="31.85546875" style="238" customWidth="1"/>
    <col min="5635" max="5635" width="14.5703125" style="238" customWidth="1"/>
    <col min="5636" max="5636" width="13.28515625" style="238" customWidth="1"/>
    <col min="5637" max="5637" width="0" style="238" hidden="1" customWidth="1"/>
    <col min="5638" max="5638" width="13.42578125" style="238" customWidth="1"/>
    <col min="5639" max="5888" width="9.140625" style="238"/>
    <col min="5889" max="5889" width="4.7109375" style="238" customWidth="1"/>
    <col min="5890" max="5890" width="31.85546875" style="238" customWidth="1"/>
    <col min="5891" max="5891" width="14.5703125" style="238" customWidth="1"/>
    <col min="5892" max="5892" width="13.28515625" style="238" customWidth="1"/>
    <col min="5893" max="5893" width="0" style="238" hidden="1" customWidth="1"/>
    <col min="5894" max="5894" width="13.42578125" style="238" customWidth="1"/>
    <col min="5895" max="6144" width="9.140625" style="238"/>
    <col min="6145" max="6145" width="4.7109375" style="238" customWidth="1"/>
    <col min="6146" max="6146" width="31.85546875" style="238" customWidth="1"/>
    <col min="6147" max="6147" width="14.5703125" style="238" customWidth="1"/>
    <col min="6148" max="6148" width="13.28515625" style="238" customWidth="1"/>
    <col min="6149" max="6149" width="0" style="238" hidden="1" customWidth="1"/>
    <col min="6150" max="6150" width="13.42578125" style="238" customWidth="1"/>
    <col min="6151" max="6400" width="9.140625" style="238"/>
    <col min="6401" max="6401" width="4.7109375" style="238" customWidth="1"/>
    <col min="6402" max="6402" width="31.85546875" style="238" customWidth="1"/>
    <col min="6403" max="6403" width="14.5703125" style="238" customWidth="1"/>
    <col min="6404" max="6404" width="13.28515625" style="238" customWidth="1"/>
    <col min="6405" max="6405" width="0" style="238" hidden="1" customWidth="1"/>
    <col min="6406" max="6406" width="13.42578125" style="238" customWidth="1"/>
    <col min="6407" max="6656" width="9.140625" style="238"/>
    <col min="6657" max="6657" width="4.7109375" style="238" customWidth="1"/>
    <col min="6658" max="6658" width="31.85546875" style="238" customWidth="1"/>
    <col min="6659" max="6659" width="14.5703125" style="238" customWidth="1"/>
    <col min="6660" max="6660" width="13.28515625" style="238" customWidth="1"/>
    <col min="6661" max="6661" width="0" style="238" hidden="1" customWidth="1"/>
    <col min="6662" max="6662" width="13.42578125" style="238" customWidth="1"/>
    <col min="6663" max="6912" width="9.140625" style="238"/>
    <col min="6913" max="6913" width="4.7109375" style="238" customWidth="1"/>
    <col min="6914" max="6914" width="31.85546875" style="238" customWidth="1"/>
    <col min="6915" max="6915" width="14.5703125" style="238" customWidth="1"/>
    <col min="6916" max="6916" width="13.28515625" style="238" customWidth="1"/>
    <col min="6917" max="6917" width="0" style="238" hidden="1" customWidth="1"/>
    <col min="6918" max="6918" width="13.42578125" style="238" customWidth="1"/>
    <col min="6919" max="7168" width="9.140625" style="238"/>
    <col min="7169" max="7169" width="4.7109375" style="238" customWidth="1"/>
    <col min="7170" max="7170" width="31.85546875" style="238" customWidth="1"/>
    <col min="7171" max="7171" width="14.5703125" style="238" customWidth="1"/>
    <col min="7172" max="7172" width="13.28515625" style="238" customWidth="1"/>
    <col min="7173" max="7173" width="0" style="238" hidden="1" customWidth="1"/>
    <col min="7174" max="7174" width="13.42578125" style="238" customWidth="1"/>
    <col min="7175" max="7424" width="9.140625" style="238"/>
    <col min="7425" max="7425" width="4.7109375" style="238" customWidth="1"/>
    <col min="7426" max="7426" width="31.85546875" style="238" customWidth="1"/>
    <col min="7427" max="7427" width="14.5703125" style="238" customWidth="1"/>
    <col min="7428" max="7428" width="13.28515625" style="238" customWidth="1"/>
    <col min="7429" max="7429" width="0" style="238" hidden="1" customWidth="1"/>
    <col min="7430" max="7430" width="13.42578125" style="238" customWidth="1"/>
    <col min="7431" max="7680" width="9.140625" style="238"/>
    <col min="7681" max="7681" width="4.7109375" style="238" customWidth="1"/>
    <col min="7682" max="7682" width="31.85546875" style="238" customWidth="1"/>
    <col min="7683" max="7683" width="14.5703125" style="238" customWidth="1"/>
    <col min="7684" max="7684" width="13.28515625" style="238" customWidth="1"/>
    <col min="7685" max="7685" width="0" style="238" hidden="1" customWidth="1"/>
    <col min="7686" max="7686" width="13.42578125" style="238" customWidth="1"/>
    <col min="7687" max="7936" width="9.140625" style="238"/>
    <col min="7937" max="7937" width="4.7109375" style="238" customWidth="1"/>
    <col min="7938" max="7938" width="31.85546875" style="238" customWidth="1"/>
    <col min="7939" max="7939" width="14.5703125" style="238" customWidth="1"/>
    <col min="7940" max="7940" width="13.28515625" style="238" customWidth="1"/>
    <col min="7941" max="7941" width="0" style="238" hidden="1" customWidth="1"/>
    <col min="7942" max="7942" width="13.42578125" style="238" customWidth="1"/>
    <col min="7943" max="8192" width="9.140625" style="238"/>
    <col min="8193" max="8193" width="4.7109375" style="238" customWidth="1"/>
    <col min="8194" max="8194" width="31.85546875" style="238" customWidth="1"/>
    <col min="8195" max="8195" width="14.5703125" style="238" customWidth="1"/>
    <col min="8196" max="8196" width="13.28515625" style="238" customWidth="1"/>
    <col min="8197" max="8197" width="0" style="238" hidden="1" customWidth="1"/>
    <col min="8198" max="8198" width="13.42578125" style="238" customWidth="1"/>
    <col min="8199" max="8448" width="9.140625" style="238"/>
    <col min="8449" max="8449" width="4.7109375" style="238" customWidth="1"/>
    <col min="8450" max="8450" width="31.85546875" style="238" customWidth="1"/>
    <col min="8451" max="8451" width="14.5703125" style="238" customWidth="1"/>
    <col min="8452" max="8452" width="13.28515625" style="238" customWidth="1"/>
    <col min="8453" max="8453" width="0" style="238" hidden="1" customWidth="1"/>
    <col min="8454" max="8454" width="13.42578125" style="238" customWidth="1"/>
    <col min="8455" max="8704" width="9.140625" style="238"/>
    <col min="8705" max="8705" width="4.7109375" style="238" customWidth="1"/>
    <col min="8706" max="8706" width="31.85546875" style="238" customWidth="1"/>
    <col min="8707" max="8707" width="14.5703125" style="238" customWidth="1"/>
    <col min="8708" max="8708" width="13.28515625" style="238" customWidth="1"/>
    <col min="8709" max="8709" width="0" style="238" hidden="1" customWidth="1"/>
    <col min="8710" max="8710" width="13.42578125" style="238" customWidth="1"/>
    <col min="8711" max="8960" width="9.140625" style="238"/>
    <col min="8961" max="8961" width="4.7109375" style="238" customWidth="1"/>
    <col min="8962" max="8962" width="31.85546875" style="238" customWidth="1"/>
    <col min="8963" max="8963" width="14.5703125" style="238" customWidth="1"/>
    <col min="8964" max="8964" width="13.28515625" style="238" customWidth="1"/>
    <col min="8965" max="8965" width="0" style="238" hidden="1" customWidth="1"/>
    <col min="8966" max="8966" width="13.42578125" style="238" customWidth="1"/>
    <col min="8967" max="9216" width="9.140625" style="238"/>
    <col min="9217" max="9217" width="4.7109375" style="238" customWidth="1"/>
    <col min="9218" max="9218" width="31.85546875" style="238" customWidth="1"/>
    <col min="9219" max="9219" width="14.5703125" style="238" customWidth="1"/>
    <col min="9220" max="9220" width="13.28515625" style="238" customWidth="1"/>
    <col min="9221" max="9221" width="0" style="238" hidden="1" customWidth="1"/>
    <col min="9222" max="9222" width="13.42578125" style="238" customWidth="1"/>
    <col min="9223" max="9472" width="9.140625" style="238"/>
    <col min="9473" max="9473" width="4.7109375" style="238" customWidth="1"/>
    <col min="9474" max="9474" width="31.85546875" style="238" customWidth="1"/>
    <col min="9475" max="9475" width="14.5703125" style="238" customWidth="1"/>
    <col min="9476" max="9476" width="13.28515625" style="238" customWidth="1"/>
    <col min="9477" max="9477" width="0" style="238" hidden="1" customWidth="1"/>
    <col min="9478" max="9478" width="13.42578125" style="238" customWidth="1"/>
    <col min="9479" max="9728" width="9.140625" style="238"/>
    <col min="9729" max="9729" width="4.7109375" style="238" customWidth="1"/>
    <col min="9730" max="9730" width="31.85546875" style="238" customWidth="1"/>
    <col min="9731" max="9731" width="14.5703125" style="238" customWidth="1"/>
    <col min="9732" max="9732" width="13.28515625" style="238" customWidth="1"/>
    <col min="9733" max="9733" width="0" style="238" hidden="1" customWidth="1"/>
    <col min="9734" max="9734" width="13.42578125" style="238" customWidth="1"/>
    <col min="9735" max="9984" width="9.140625" style="238"/>
    <col min="9985" max="9985" width="4.7109375" style="238" customWidth="1"/>
    <col min="9986" max="9986" width="31.85546875" style="238" customWidth="1"/>
    <col min="9987" max="9987" width="14.5703125" style="238" customWidth="1"/>
    <col min="9988" max="9988" width="13.28515625" style="238" customWidth="1"/>
    <col min="9989" max="9989" width="0" style="238" hidden="1" customWidth="1"/>
    <col min="9990" max="9990" width="13.42578125" style="238" customWidth="1"/>
    <col min="9991" max="10240" width="9.140625" style="238"/>
    <col min="10241" max="10241" width="4.7109375" style="238" customWidth="1"/>
    <col min="10242" max="10242" width="31.85546875" style="238" customWidth="1"/>
    <col min="10243" max="10243" width="14.5703125" style="238" customWidth="1"/>
    <col min="10244" max="10244" width="13.28515625" style="238" customWidth="1"/>
    <col min="10245" max="10245" width="0" style="238" hidden="1" customWidth="1"/>
    <col min="10246" max="10246" width="13.42578125" style="238" customWidth="1"/>
    <col min="10247" max="10496" width="9.140625" style="238"/>
    <col min="10497" max="10497" width="4.7109375" style="238" customWidth="1"/>
    <col min="10498" max="10498" width="31.85546875" style="238" customWidth="1"/>
    <col min="10499" max="10499" width="14.5703125" style="238" customWidth="1"/>
    <col min="10500" max="10500" width="13.28515625" style="238" customWidth="1"/>
    <col min="10501" max="10501" width="0" style="238" hidden="1" customWidth="1"/>
    <col min="10502" max="10502" width="13.42578125" style="238" customWidth="1"/>
    <col min="10503" max="10752" width="9.140625" style="238"/>
    <col min="10753" max="10753" width="4.7109375" style="238" customWidth="1"/>
    <col min="10754" max="10754" width="31.85546875" style="238" customWidth="1"/>
    <col min="10755" max="10755" width="14.5703125" style="238" customWidth="1"/>
    <col min="10756" max="10756" width="13.28515625" style="238" customWidth="1"/>
    <col min="10757" max="10757" width="0" style="238" hidden="1" customWidth="1"/>
    <col min="10758" max="10758" width="13.42578125" style="238" customWidth="1"/>
    <col min="10759" max="11008" width="9.140625" style="238"/>
    <col min="11009" max="11009" width="4.7109375" style="238" customWidth="1"/>
    <col min="11010" max="11010" width="31.85546875" style="238" customWidth="1"/>
    <col min="11011" max="11011" width="14.5703125" style="238" customWidth="1"/>
    <col min="11012" max="11012" width="13.28515625" style="238" customWidth="1"/>
    <col min="11013" max="11013" width="0" style="238" hidden="1" customWidth="1"/>
    <col min="11014" max="11014" width="13.42578125" style="238" customWidth="1"/>
    <col min="11015" max="11264" width="9.140625" style="238"/>
    <col min="11265" max="11265" width="4.7109375" style="238" customWidth="1"/>
    <col min="11266" max="11266" width="31.85546875" style="238" customWidth="1"/>
    <col min="11267" max="11267" width="14.5703125" style="238" customWidth="1"/>
    <col min="11268" max="11268" width="13.28515625" style="238" customWidth="1"/>
    <col min="11269" max="11269" width="0" style="238" hidden="1" customWidth="1"/>
    <col min="11270" max="11270" width="13.42578125" style="238" customWidth="1"/>
    <col min="11271" max="11520" width="9.140625" style="238"/>
    <col min="11521" max="11521" width="4.7109375" style="238" customWidth="1"/>
    <col min="11522" max="11522" width="31.85546875" style="238" customWidth="1"/>
    <col min="11523" max="11523" width="14.5703125" style="238" customWidth="1"/>
    <col min="11524" max="11524" width="13.28515625" style="238" customWidth="1"/>
    <col min="11525" max="11525" width="0" style="238" hidden="1" customWidth="1"/>
    <col min="11526" max="11526" width="13.42578125" style="238" customWidth="1"/>
    <col min="11527" max="11776" width="9.140625" style="238"/>
    <col min="11777" max="11777" width="4.7109375" style="238" customWidth="1"/>
    <col min="11778" max="11778" width="31.85546875" style="238" customWidth="1"/>
    <col min="11779" max="11779" width="14.5703125" style="238" customWidth="1"/>
    <col min="11780" max="11780" width="13.28515625" style="238" customWidth="1"/>
    <col min="11781" max="11781" width="0" style="238" hidden="1" customWidth="1"/>
    <col min="11782" max="11782" width="13.42578125" style="238" customWidth="1"/>
    <col min="11783" max="12032" width="9.140625" style="238"/>
    <col min="12033" max="12033" width="4.7109375" style="238" customWidth="1"/>
    <col min="12034" max="12034" width="31.85546875" style="238" customWidth="1"/>
    <col min="12035" max="12035" width="14.5703125" style="238" customWidth="1"/>
    <col min="12036" max="12036" width="13.28515625" style="238" customWidth="1"/>
    <col min="12037" max="12037" width="0" style="238" hidden="1" customWidth="1"/>
    <col min="12038" max="12038" width="13.42578125" style="238" customWidth="1"/>
    <col min="12039" max="12288" width="9.140625" style="238"/>
    <col min="12289" max="12289" width="4.7109375" style="238" customWidth="1"/>
    <col min="12290" max="12290" width="31.85546875" style="238" customWidth="1"/>
    <col min="12291" max="12291" width="14.5703125" style="238" customWidth="1"/>
    <col min="12292" max="12292" width="13.28515625" style="238" customWidth="1"/>
    <col min="12293" max="12293" width="0" style="238" hidden="1" customWidth="1"/>
    <col min="12294" max="12294" width="13.42578125" style="238" customWidth="1"/>
    <col min="12295" max="12544" width="9.140625" style="238"/>
    <col min="12545" max="12545" width="4.7109375" style="238" customWidth="1"/>
    <col min="12546" max="12546" width="31.85546875" style="238" customWidth="1"/>
    <col min="12547" max="12547" width="14.5703125" style="238" customWidth="1"/>
    <col min="12548" max="12548" width="13.28515625" style="238" customWidth="1"/>
    <col min="12549" max="12549" width="0" style="238" hidden="1" customWidth="1"/>
    <col min="12550" max="12550" width="13.42578125" style="238" customWidth="1"/>
    <col min="12551" max="12800" width="9.140625" style="238"/>
    <col min="12801" max="12801" width="4.7109375" style="238" customWidth="1"/>
    <col min="12802" max="12802" width="31.85546875" style="238" customWidth="1"/>
    <col min="12803" max="12803" width="14.5703125" style="238" customWidth="1"/>
    <col min="12804" max="12804" width="13.28515625" style="238" customWidth="1"/>
    <col min="12805" max="12805" width="0" style="238" hidden="1" customWidth="1"/>
    <col min="12806" max="12806" width="13.42578125" style="238" customWidth="1"/>
    <col min="12807" max="13056" width="9.140625" style="238"/>
    <col min="13057" max="13057" width="4.7109375" style="238" customWidth="1"/>
    <col min="13058" max="13058" width="31.85546875" style="238" customWidth="1"/>
    <col min="13059" max="13059" width="14.5703125" style="238" customWidth="1"/>
    <col min="13060" max="13060" width="13.28515625" style="238" customWidth="1"/>
    <col min="13061" max="13061" width="0" style="238" hidden="1" customWidth="1"/>
    <col min="13062" max="13062" width="13.42578125" style="238" customWidth="1"/>
    <col min="13063" max="13312" width="9.140625" style="238"/>
    <col min="13313" max="13313" width="4.7109375" style="238" customWidth="1"/>
    <col min="13314" max="13314" width="31.85546875" style="238" customWidth="1"/>
    <col min="13315" max="13315" width="14.5703125" style="238" customWidth="1"/>
    <col min="13316" max="13316" width="13.28515625" style="238" customWidth="1"/>
    <col min="13317" max="13317" width="0" style="238" hidden="1" customWidth="1"/>
    <col min="13318" max="13318" width="13.42578125" style="238" customWidth="1"/>
    <col min="13319" max="13568" width="9.140625" style="238"/>
    <col min="13569" max="13569" width="4.7109375" style="238" customWidth="1"/>
    <col min="13570" max="13570" width="31.85546875" style="238" customWidth="1"/>
    <col min="13571" max="13571" width="14.5703125" style="238" customWidth="1"/>
    <col min="13572" max="13572" width="13.28515625" style="238" customWidth="1"/>
    <col min="13573" max="13573" width="0" style="238" hidden="1" customWidth="1"/>
    <col min="13574" max="13574" width="13.42578125" style="238" customWidth="1"/>
    <col min="13575" max="13824" width="9.140625" style="238"/>
    <col min="13825" max="13825" width="4.7109375" style="238" customWidth="1"/>
    <col min="13826" max="13826" width="31.85546875" style="238" customWidth="1"/>
    <col min="13827" max="13827" width="14.5703125" style="238" customWidth="1"/>
    <col min="13828" max="13828" width="13.28515625" style="238" customWidth="1"/>
    <col min="13829" max="13829" width="0" style="238" hidden="1" customWidth="1"/>
    <col min="13830" max="13830" width="13.42578125" style="238" customWidth="1"/>
    <col min="13831" max="14080" width="9.140625" style="238"/>
    <col min="14081" max="14081" width="4.7109375" style="238" customWidth="1"/>
    <col min="14082" max="14082" width="31.85546875" style="238" customWidth="1"/>
    <col min="14083" max="14083" width="14.5703125" style="238" customWidth="1"/>
    <col min="14084" max="14084" width="13.28515625" style="238" customWidth="1"/>
    <col min="14085" max="14085" width="0" style="238" hidden="1" customWidth="1"/>
    <col min="14086" max="14086" width="13.42578125" style="238" customWidth="1"/>
    <col min="14087" max="14336" width="9.140625" style="238"/>
    <col min="14337" max="14337" width="4.7109375" style="238" customWidth="1"/>
    <col min="14338" max="14338" width="31.85546875" style="238" customWidth="1"/>
    <col min="14339" max="14339" width="14.5703125" style="238" customWidth="1"/>
    <col min="14340" max="14340" width="13.28515625" style="238" customWidth="1"/>
    <col min="14341" max="14341" width="0" style="238" hidden="1" customWidth="1"/>
    <col min="14342" max="14342" width="13.42578125" style="238" customWidth="1"/>
    <col min="14343" max="14592" width="9.140625" style="238"/>
    <col min="14593" max="14593" width="4.7109375" style="238" customWidth="1"/>
    <col min="14594" max="14594" width="31.85546875" style="238" customWidth="1"/>
    <col min="14595" max="14595" width="14.5703125" style="238" customWidth="1"/>
    <col min="14596" max="14596" width="13.28515625" style="238" customWidth="1"/>
    <col min="14597" max="14597" width="0" style="238" hidden="1" customWidth="1"/>
    <col min="14598" max="14598" width="13.42578125" style="238" customWidth="1"/>
    <col min="14599" max="14848" width="9.140625" style="238"/>
    <col min="14849" max="14849" width="4.7109375" style="238" customWidth="1"/>
    <col min="14850" max="14850" width="31.85546875" style="238" customWidth="1"/>
    <col min="14851" max="14851" width="14.5703125" style="238" customWidth="1"/>
    <col min="14852" max="14852" width="13.28515625" style="238" customWidth="1"/>
    <col min="14853" max="14853" width="0" style="238" hidden="1" customWidth="1"/>
    <col min="14854" max="14854" width="13.42578125" style="238" customWidth="1"/>
    <col min="14855" max="15104" width="9.140625" style="238"/>
    <col min="15105" max="15105" width="4.7109375" style="238" customWidth="1"/>
    <col min="15106" max="15106" width="31.85546875" style="238" customWidth="1"/>
    <col min="15107" max="15107" width="14.5703125" style="238" customWidth="1"/>
    <col min="15108" max="15108" width="13.28515625" style="238" customWidth="1"/>
    <col min="15109" max="15109" width="0" style="238" hidden="1" customWidth="1"/>
    <col min="15110" max="15110" width="13.42578125" style="238" customWidth="1"/>
    <col min="15111" max="15360" width="9.140625" style="238"/>
    <col min="15361" max="15361" width="4.7109375" style="238" customWidth="1"/>
    <col min="15362" max="15362" width="31.85546875" style="238" customWidth="1"/>
    <col min="15363" max="15363" width="14.5703125" style="238" customWidth="1"/>
    <col min="15364" max="15364" width="13.28515625" style="238" customWidth="1"/>
    <col min="15365" max="15365" width="0" style="238" hidden="1" customWidth="1"/>
    <col min="15366" max="15366" width="13.42578125" style="238" customWidth="1"/>
    <col min="15367" max="15616" width="9.140625" style="238"/>
    <col min="15617" max="15617" width="4.7109375" style="238" customWidth="1"/>
    <col min="15618" max="15618" width="31.85546875" style="238" customWidth="1"/>
    <col min="15619" max="15619" width="14.5703125" style="238" customWidth="1"/>
    <col min="15620" max="15620" width="13.28515625" style="238" customWidth="1"/>
    <col min="15621" max="15621" width="0" style="238" hidden="1" customWidth="1"/>
    <col min="15622" max="15622" width="13.42578125" style="238" customWidth="1"/>
    <col min="15623" max="15872" width="9.140625" style="238"/>
    <col min="15873" max="15873" width="4.7109375" style="238" customWidth="1"/>
    <col min="15874" max="15874" width="31.85546875" style="238" customWidth="1"/>
    <col min="15875" max="15875" width="14.5703125" style="238" customWidth="1"/>
    <col min="15876" max="15876" width="13.28515625" style="238" customWidth="1"/>
    <col min="15877" max="15877" width="0" style="238" hidden="1" customWidth="1"/>
    <col min="15878" max="15878" width="13.42578125" style="238" customWidth="1"/>
    <col min="15879" max="16128" width="9.140625" style="238"/>
    <col min="16129" max="16129" width="4.7109375" style="238" customWidth="1"/>
    <col min="16130" max="16130" width="31.85546875" style="238" customWidth="1"/>
    <col min="16131" max="16131" width="14.5703125" style="238" customWidth="1"/>
    <col min="16132" max="16132" width="13.28515625" style="238" customWidth="1"/>
    <col min="16133" max="16133" width="0" style="238" hidden="1" customWidth="1"/>
    <col min="16134" max="16134" width="13.42578125" style="238" customWidth="1"/>
    <col min="16135" max="16384" width="9.140625" style="238"/>
  </cols>
  <sheetData>
    <row r="1" spans="1:7" x14ac:dyDescent="0.2">
      <c r="B1" s="239"/>
      <c r="C1" s="484" t="s">
        <v>588</v>
      </c>
      <c r="D1" s="484"/>
      <c r="E1" s="484"/>
      <c r="F1" s="484"/>
    </row>
    <row r="2" spans="1:7" x14ac:dyDescent="0.2">
      <c r="B2" s="240"/>
      <c r="C2" s="436" t="s">
        <v>575</v>
      </c>
      <c r="D2" s="436"/>
      <c r="E2" s="436"/>
      <c r="F2" s="436"/>
    </row>
    <row r="3" spans="1:7" x14ac:dyDescent="0.2">
      <c r="B3" s="240"/>
      <c r="C3" s="436" t="s">
        <v>576</v>
      </c>
      <c r="D3" s="436"/>
      <c r="E3" s="436"/>
      <c r="F3" s="436"/>
    </row>
    <row r="4" spans="1:7" x14ac:dyDescent="0.2">
      <c r="B4" s="240"/>
      <c r="C4" s="436" t="s">
        <v>577</v>
      </c>
      <c r="D4" s="436"/>
      <c r="E4" s="436"/>
      <c r="F4" s="436"/>
    </row>
    <row r="5" spans="1:7" x14ac:dyDescent="0.2">
      <c r="B5" s="240"/>
      <c r="C5" s="436" t="s">
        <v>593</v>
      </c>
      <c r="D5" s="436"/>
      <c r="E5" s="436"/>
      <c r="F5" s="436"/>
    </row>
    <row r="6" spans="1:7" x14ac:dyDescent="0.2">
      <c r="B6" s="240"/>
      <c r="C6" s="436" t="s">
        <v>578</v>
      </c>
      <c r="D6" s="436"/>
      <c r="E6" s="436"/>
      <c r="F6" s="436"/>
    </row>
    <row r="7" spans="1:7" x14ac:dyDescent="0.2">
      <c r="B7" s="245"/>
      <c r="C7" s="477" t="s">
        <v>589</v>
      </c>
      <c r="D7" s="477"/>
      <c r="E7" s="477"/>
      <c r="F7" s="477"/>
    </row>
    <row r="8" spans="1:7" x14ac:dyDescent="0.2">
      <c r="B8" s="246"/>
      <c r="C8" s="519" t="s">
        <v>594</v>
      </c>
      <c r="D8" s="519"/>
      <c r="E8" s="519"/>
      <c r="F8" s="519"/>
      <c r="G8" s="246"/>
    </row>
    <row r="9" spans="1:7" x14ac:dyDescent="0.2">
      <c r="B9" s="240"/>
      <c r="C9" s="239"/>
      <c r="D9" s="239"/>
      <c r="E9" s="239"/>
    </row>
    <row r="10" spans="1:7" ht="42.75" customHeight="1" x14ac:dyDescent="0.2">
      <c r="A10" s="490" t="s">
        <v>628</v>
      </c>
      <c r="B10" s="490"/>
      <c r="C10" s="490"/>
      <c r="D10" s="490"/>
      <c r="E10" s="490"/>
      <c r="F10" s="490"/>
    </row>
    <row r="11" spans="1:7" x14ac:dyDescent="0.2">
      <c r="A11" s="478"/>
      <c r="B11" s="478"/>
      <c r="C11" s="478"/>
      <c r="D11" s="520"/>
      <c r="E11" s="520"/>
      <c r="F11" s="238" t="s">
        <v>579</v>
      </c>
    </row>
    <row r="12" spans="1:7" x14ac:dyDescent="0.2">
      <c r="A12" s="482" t="s">
        <v>512</v>
      </c>
      <c r="B12" s="482" t="s">
        <v>580</v>
      </c>
      <c r="C12" s="482"/>
      <c r="D12" s="489" t="s">
        <v>95</v>
      </c>
      <c r="E12" s="489"/>
      <c r="F12" s="489"/>
    </row>
    <row r="13" spans="1:7" s="242" customFormat="1" x14ac:dyDescent="0.2">
      <c r="A13" s="482"/>
      <c r="B13" s="482"/>
      <c r="C13" s="482"/>
      <c r="D13" s="521" t="s">
        <v>611</v>
      </c>
      <c r="E13" s="522"/>
      <c r="F13" s="247" t="s">
        <v>612</v>
      </c>
    </row>
    <row r="14" spans="1:7" x14ac:dyDescent="0.2">
      <c r="A14" s="243" t="s">
        <v>617</v>
      </c>
      <c r="B14" s="485" t="s">
        <v>583</v>
      </c>
      <c r="C14" s="486"/>
      <c r="D14" s="485">
        <v>61.5</v>
      </c>
      <c r="E14" s="486"/>
      <c r="F14" s="243">
        <v>60.2</v>
      </c>
    </row>
    <row r="15" spans="1:7" x14ac:dyDescent="0.2">
      <c r="A15" s="244"/>
      <c r="B15" s="487" t="s">
        <v>587</v>
      </c>
      <c r="C15" s="488"/>
      <c r="D15" s="487">
        <f>SUM(D14:E14)</f>
        <v>61.5</v>
      </c>
      <c r="E15" s="488"/>
      <c r="F15" s="247">
        <f>SUM(F14:F14)</f>
        <v>60.2</v>
      </c>
    </row>
    <row r="26" spans="13:13" x14ac:dyDescent="0.2">
      <c r="M26" s="238" t="s">
        <v>32</v>
      </c>
    </row>
  </sheetData>
  <mergeCells count="19">
    <mergeCell ref="C6:F6"/>
    <mergeCell ref="C1:F1"/>
    <mergeCell ref="C2:F2"/>
    <mergeCell ref="C3:F3"/>
    <mergeCell ref="C4:F4"/>
    <mergeCell ref="C5:F5"/>
    <mergeCell ref="C7:F7"/>
    <mergeCell ref="C8:F8"/>
    <mergeCell ref="A11:C11"/>
    <mergeCell ref="D11:E11"/>
    <mergeCell ref="A12:A13"/>
    <mergeCell ref="B12:C13"/>
    <mergeCell ref="D12:F12"/>
    <mergeCell ref="D13:E13"/>
    <mergeCell ref="B15:C15"/>
    <mergeCell ref="D15:E15"/>
    <mergeCell ref="A10:F10"/>
    <mergeCell ref="B14:C14"/>
    <mergeCell ref="D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0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21.5703125" style="2" customWidth="1"/>
    <col min="2" max="2" width="77.42578125" style="4" customWidth="1"/>
    <col min="3" max="3" width="14" style="48" customWidth="1"/>
    <col min="4" max="4" width="14.42578125" style="2" customWidth="1"/>
    <col min="5" max="5" width="12.28515625" style="2" customWidth="1"/>
    <col min="6" max="6" width="10.5703125" style="2" customWidth="1"/>
    <col min="7" max="16384" width="9.140625" style="2"/>
  </cols>
  <sheetData>
    <row r="1" spans="1:4" x14ac:dyDescent="0.25">
      <c r="A1" s="436" t="s">
        <v>706</v>
      </c>
      <c r="B1" s="436"/>
      <c r="C1" s="436"/>
      <c r="D1" s="436"/>
    </row>
    <row r="2" spans="1:4" x14ac:dyDescent="0.25">
      <c r="A2" s="436" t="s">
        <v>0</v>
      </c>
      <c r="B2" s="436"/>
      <c r="C2" s="436"/>
      <c r="D2" s="436"/>
    </row>
    <row r="3" spans="1:4" x14ac:dyDescent="0.25">
      <c r="A3" s="436" t="s">
        <v>1</v>
      </c>
      <c r="B3" s="436"/>
      <c r="C3" s="436"/>
      <c r="D3" s="436"/>
    </row>
    <row r="4" spans="1:4" x14ac:dyDescent="0.25">
      <c r="A4" s="436" t="s">
        <v>2</v>
      </c>
      <c r="B4" s="436"/>
      <c r="C4" s="436"/>
      <c r="D4" s="436"/>
    </row>
    <row r="5" spans="1:4" x14ac:dyDescent="0.25">
      <c r="A5" s="436" t="s">
        <v>701</v>
      </c>
      <c r="B5" s="436"/>
      <c r="C5" s="436"/>
      <c r="D5" s="436"/>
    </row>
    <row r="6" spans="1:4" x14ac:dyDescent="0.25">
      <c r="A6" s="436" t="s">
        <v>3</v>
      </c>
      <c r="B6" s="436"/>
      <c r="C6" s="436"/>
      <c r="D6" s="436"/>
    </row>
    <row r="7" spans="1:4" x14ac:dyDescent="0.25">
      <c r="A7" s="436" t="s">
        <v>4</v>
      </c>
      <c r="B7" s="436"/>
      <c r="C7" s="436"/>
      <c r="D7" s="436"/>
    </row>
    <row r="8" spans="1:4" x14ac:dyDescent="0.25">
      <c r="A8" s="436" t="s">
        <v>97</v>
      </c>
      <c r="B8" s="436"/>
      <c r="C8" s="436"/>
      <c r="D8" s="436"/>
    </row>
    <row r="9" spans="1:4" ht="15.75" x14ac:dyDescent="0.25">
      <c r="A9" s="3"/>
      <c r="C9" s="5"/>
    </row>
    <row r="10" spans="1:4" ht="30.75" customHeight="1" x14ac:dyDescent="0.25">
      <c r="A10" s="440" t="s">
        <v>94</v>
      </c>
      <c r="B10" s="440"/>
      <c r="C10" s="440"/>
      <c r="D10" s="440"/>
    </row>
    <row r="11" spans="1:4" x14ac:dyDescent="0.25">
      <c r="A11" s="440" t="s">
        <v>98</v>
      </c>
      <c r="B11" s="440"/>
      <c r="C11" s="440"/>
      <c r="D11" s="440"/>
    </row>
    <row r="12" spans="1:4" x14ac:dyDescent="0.25">
      <c r="A12" s="49"/>
      <c r="B12" s="49"/>
      <c r="C12" s="49"/>
      <c r="D12" s="49"/>
    </row>
    <row r="13" spans="1:4" ht="15" customHeight="1" x14ac:dyDescent="0.25">
      <c r="A13" s="441" t="s">
        <v>6</v>
      </c>
      <c r="B13" s="441" t="s">
        <v>7</v>
      </c>
      <c r="C13" s="442" t="s">
        <v>95</v>
      </c>
      <c r="D13" s="442"/>
    </row>
    <row r="14" spans="1:4" s="10" customFormat="1" ht="14.25" x14ac:dyDescent="0.2">
      <c r="A14" s="441"/>
      <c r="B14" s="441"/>
      <c r="C14" s="50" t="s">
        <v>96</v>
      </c>
      <c r="D14" s="50" t="s">
        <v>99</v>
      </c>
    </row>
    <row r="15" spans="1:4" s="10" customFormat="1" ht="14.25" x14ac:dyDescent="0.2">
      <c r="A15" s="11" t="s">
        <v>8</v>
      </c>
      <c r="B15" s="12" t="s">
        <v>9</v>
      </c>
      <c r="C15" s="13">
        <f>C16+C18+C19+C23+C25+C26+C27+C30+C32+C35+C37+C38</f>
        <v>33397</v>
      </c>
      <c r="D15" s="13">
        <f>D16+D18+D19+D23+D25+D26+D27+D30+D32+D35+D37+D38</f>
        <v>35021</v>
      </c>
    </row>
    <row r="16" spans="1:4" s="10" customFormat="1" ht="14.25" x14ac:dyDescent="0.2">
      <c r="A16" s="11" t="s">
        <v>10</v>
      </c>
      <c r="B16" s="12" t="s">
        <v>11</v>
      </c>
      <c r="C16" s="13">
        <f>SUM(C17:C17)</f>
        <v>23725</v>
      </c>
      <c r="D16" s="13">
        <f>SUM(D17:D17)</f>
        <v>24865</v>
      </c>
    </row>
    <row r="17" spans="1:6" s="10" customFormat="1" x14ac:dyDescent="0.2">
      <c r="A17" s="14" t="s">
        <v>12</v>
      </c>
      <c r="B17" s="15" t="s">
        <v>13</v>
      </c>
      <c r="C17" s="16">
        <v>23725</v>
      </c>
      <c r="D17" s="16">
        <v>24865</v>
      </c>
    </row>
    <row r="18" spans="1:6" s="10" customFormat="1" ht="14.25" x14ac:dyDescent="0.2">
      <c r="A18" s="11" t="s">
        <v>14</v>
      </c>
      <c r="B18" s="12" t="s">
        <v>15</v>
      </c>
      <c r="C18" s="13">
        <v>4284</v>
      </c>
      <c r="D18" s="13">
        <v>4502</v>
      </c>
    </row>
    <row r="19" spans="1:6" s="10" customFormat="1" ht="14.25" x14ac:dyDescent="0.2">
      <c r="A19" s="11" t="s">
        <v>16</v>
      </c>
      <c r="B19" s="12" t="s">
        <v>17</v>
      </c>
      <c r="C19" s="13">
        <f>SUM(C20+C21+C22)</f>
        <v>1075</v>
      </c>
      <c r="D19" s="13">
        <f>SUM(D20+D21+D22)</f>
        <v>1127</v>
      </c>
    </row>
    <row r="20" spans="1:6" s="10" customFormat="1" x14ac:dyDescent="0.2">
      <c r="A20" s="14" t="s">
        <v>18</v>
      </c>
      <c r="B20" s="15" t="s">
        <v>19</v>
      </c>
      <c r="C20" s="16">
        <v>839</v>
      </c>
      <c r="D20" s="16">
        <v>881</v>
      </c>
    </row>
    <row r="21" spans="1:6" s="10" customFormat="1" x14ac:dyDescent="0.2">
      <c r="A21" s="14" t="s">
        <v>20</v>
      </c>
      <c r="B21" s="15" t="s">
        <v>21</v>
      </c>
      <c r="C21" s="16">
        <v>101</v>
      </c>
      <c r="D21" s="16">
        <v>106</v>
      </c>
    </row>
    <row r="22" spans="1:6" s="10" customFormat="1" x14ac:dyDescent="0.2">
      <c r="A22" s="14" t="s">
        <v>22</v>
      </c>
      <c r="B22" s="15" t="s">
        <v>23</v>
      </c>
      <c r="C22" s="16">
        <v>135</v>
      </c>
      <c r="D22" s="16">
        <v>140</v>
      </c>
    </row>
    <row r="23" spans="1:6" s="10" customFormat="1" ht="14.25" x14ac:dyDescent="0.2">
      <c r="A23" s="11" t="s">
        <v>24</v>
      </c>
      <c r="B23" s="12" t="s">
        <v>25</v>
      </c>
      <c r="C23" s="13">
        <f>C24</f>
        <v>917</v>
      </c>
      <c r="D23" s="13">
        <f>D24</f>
        <v>1017</v>
      </c>
    </row>
    <row r="24" spans="1:6" s="10" customFormat="1" x14ac:dyDescent="0.2">
      <c r="A24" s="14" t="s">
        <v>26</v>
      </c>
      <c r="B24" s="15" t="s">
        <v>27</v>
      </c>
      <c r="C24" s="16">
        <v>917</v>
      </c>
      <c r="D24" s="16">
        <v>1017</v>
      </c>
    </row>
    <row r="25" spans="1:6" s="10" customFormat="1" ht="14.25" x14ac:dyDescent="0.2">
      <c r="A25" s="17" t="s">
        <v>28</v>
      </c>
      <c r="B25" s="18" t="s">
        <v>29</v>
      </c>
      <c r="C25" s="19">
        <v>514</v>
      </c>
      <c r="D25" s="19">
        <v>540</v>
      </c>
    </row>
    <row r="26" spans="1:6" s="10" customFormat="1" ht="25.5" x14ac:dyDescent="0.2">
      <c r="A26" s="11" t="s">
        <v>30</v>
      </c>
      <c r="B26" s="18" t="s">
        <v>31</v>
      </c>
      <c r="C26" s="19">
        <v>0</v>
      </c>
      <c r="D26" s="19">
        <v>0</v>
      </c>
      <c r="E26" s="10" t="s">
        <v>32</v>
      </c>
    </row>
    <row r="27" spans="1:6" s="10" customFormat="1" ht="25.5" x14ac:dyDescent="0.2">
      <c r="A27" s="11" t="s">
        <v>33</v>
      </c>
      <c r="B27" s="18" t="s">
        <v>34</v>
      </c>
      <c r="C27" s="19">
        <f>C28+C29</f>
        <v>774</v>
      </c>
      <c r="D27" s="19">
        <f>D28+D29</f>
        <v>803</v>
      </c>
    </row>
    <row r="28" spans="1:6" s="10" customFormat="1" ht="51" x14ac:dyDescent="0.2">
      <c r="A28" s="14" t="s">
        <v>35</v>
      </c>
      <c r="B28" s="20" t="s">
        <v>36</v>
      </c>
      <c r="C28" s="21">
        <v>584</v>
      </c>
      <c r="D28" s="21">
        <v>613</v>
      </c>
    </row>
    <row r="29" spans="1:6" s="10" customFormat="1" ht="38.25" x14ac:dyDescent="0.2">
      <c r="A29" s="14" t="s">
        <v>37</v>
      </c>
      <c r="B29" s="20" t="s">
        <v>38</v>
      </c>
      <c r="C29" s="21">
        <v>190</v>
      </c>
      <c r="D29" s="21">
        <v>190</v>
      </c>
    </row>
    <row r="30" spans="1:6" s="10" customFormat="1" ht="14.25" x14ac:dyDescent="0.2">
      <c r="A30" s="11" t="s">
        <v>39</v>
      </c>
      <c r="B30" s="18" t="s">
        <v>40</v>
      </c>
      <c r="C30" s="19">
        <f>SUM(C31)</f>
        <v>619</v>
      </c>
      <c r="D30" s="19">
        <f>SUM(D31)</f>
        <v>619</v>
      </c>
      <c r="F30" s="10" t="s">
        <v>32</v>
      </c>
    </row>
    <row r="31" spans="1:6" s="10" customFormat="1" x14ac:dyDescent="0.2">
      <c r="A31" s="14" t="s">
        <v>41</v>
      </c>
      <c r="B31" s="20" t="s">
        <v>42</v>
      </c>
      <c r="C31" s="21">
        <v>619</v>
      </c>
      <c r="D31" s="21">
        <v>619</v>
      </c>
    </row>
    <row r="32" spans="1:6" s="22" customFormat="1" ht="25.5" x14ac:dyDescent="0.2">
      <c r="A32" s="11" t="s">
        <v>43</v>
      </c>
      <c r="B32" s="18" t="s">
        <v>44</v>
      </c>
      <c r="C32" s="19">
        <f>C33</f>
        <v>0</v>
      </c>
      <c r="D32" s="19">
        <f>D33</f>
        <v>0</v>
      </c>
    </row>
    <row r="33" spans="1:6" s="23" customFormat="1" ht="25.5" x14ac:dyDescent="0.25">
      <c r="A33" s="14" t="s">
        <v>45</v>
      </c>
      <c r="B33" s="20" t="s">
        <v>46</v>
      </c>
      <c r="C33" s="21">
        <v>0</v>
      </c>
      <c r="D33" s="21">
        <v>0</v>
      </c>
    </row>
    <row r="34" spans="1:6" s="24" customFormat="1" x14ac:dyDescent="0.25">
      <c r="A34" s="14" t="s">
        <v>47</v>
      </c>
      <c r="B34" s="20" t="s">
        <v>48</v>
      </c>
      <c r="C34" s="21">
        <v>0</v>
      </c>
      <c r="D34" s="21">
        <v>0</v>
      </c>
    </row>
    <row r="35" spans="1:6" s="23" customFormat="1" x14ac:dyDescent="0.25">
      <c r="A35" s="11" t="s">
        <v>49</v>
      </c>
      <c r="B35" s="18" t="s">
        <v>50</v>
      </c>
      <c r="C35" s="19">
        <f>C36</f>
        <v>275</v>
      </c>
      <c r="D35" s="19">
        <f>D36</f>
        <v>284</v>
      </c>
    </row>
    <row r="36" spans="1:6" s="23" customFormat="1" ht="25.5" x14ac:dyDescent="0.25">
      <c r="A36" s="14" t="s">
        <v>51</v>
      </c>
      <c r="B36" s="20" t="s">
        <v>52</v>
      </c>
      <c r="C36" s="21">
        <v>275</v>
      </c>
      <c r="D36" s="21">
        <v>284</v>
      </c>
    </row>
    <row r="37" spans="1:6" s="24" customFormat="1" x14ac:dyDescent="0.25">
      <c r="A37" s="11" t="s">
        <v>53</v>
      </c>
      <c r="B37" s="18" t="s">
        <v>54</v>
      </c>
      <c r="C37" s="19">
        <v>714</v>
      </c>
      <c r="D37" s="19">
        <v>764</v>
      </c>
    </row>
    <row r="38" spans="1:6" s="25" customFormat="1" ht="14.25" x14ac:dyDescent="0.2">
      <c r="A38" s="11" t="s">
        <v>55</v>
      </c>
      <c r="B38" s="18" t="s">
        <v>56</v>
      </c>
      <c r="C38" s="19">
        <f>C40</f>
        <v>500</v>
      </c>
      <c r="D38" s="19">
        <f>D40</f>
        <v>500</v>
      </c>
    </row>
    <row r="39" spans="1:6" s="23" customFormat="1" x14ac:dyDescent="0.25">
      <c r="A39" s="14" t="s">
        <v>57</v>
      </c>
      <c r="B39" s="20" t="s">
        <v>58</v>
      </c>
      <c r="C39" s="19">
        <v>0</v>
      </c>
      <c r="D39" s="19">
        <v>0</v>
      </c>
    </row>
    <row r="40" spans="1:6" s="23" customFormat="1" x14ac:dyDescent="0.25">
      <c r="A40" s="14" t="s">
        <v>59</v>
      </c>
      <c r="B40" s="20" t="s">
        <v>60</v>
      </c>
      <c r="C40" s="21">
        <v>500</v>
      </c>
      <c r="D40" s="21">
        <v>500</v>
      </c>
    </row>
    <row r="41" spans="1:6" s="23" customFormat="1" x14ac:dyDescent="0.25">
      <c r="A41" s="11" t="s">
        <v>61</v>
      </c>
      <c r="B41" s="26" t="s">
        <v>62</v>
      </c>
      <c r="C41" s="27">
        <f>SUM(C42)</f>
        <v>422743.9</v>
      </c>
      <c r="D41" s="27">
        <f>SUM(D42)</f>
        <v>423800.3</v>
      </c>
      <c r="E41" s="28">
        <v>421442.9</v>
      </c>
      <c r="F41" s="28">
        <v>422383.3</v>
      </c>
    </row>
    <row r="42" spans="1:6" s="23" customFormat="1" ht="25.5" x14ac:dyDescent="0.25">
      <c r="A42" s="14" t="s">
        <v>63</v>
      </c>
      <c r="B42" s="29" t="s">
        <v>64</v>
      </c>
      <c r="C42" s="30">
        <f>SUM(C43+C46+C54+C74)</f>
        <v>422743.9</v>
      </c>
      <c r="D42" s="30">
        <f>SUM(D43+D46+D54+D74)</f>
        <v>423800.3</v>
      </c>
      <c r="E42" s="28">
        <f>C41-E41</f>
        <v>1301</v>
      </c>
      <c r="F42" s="28">
        <f>D41-F41</f>
        <v>1417</v>
      </c>
    </row>
    <row r="43" spans="1:6" s="23" customFormat="1" x14ac:dyDescent="0.25">
      <c r="A43" s="31" t="s">
        <v>785</v>
      </c>
      <c r="B43" s="32" t="s">
        <v>786</v>
      </c>
      <c r="C43" s="33">
        <f>SUM(C44:C45)</f>
        <v>138063.9</v>
      </c>
      <c r="D43" s="33">
        <f>SUM(D44:D45)</f>
        <v>137181.79999999999</v>
      </c>
      <c r="E43" s="1" t="s">
        <v>103</v>
      </c>
      <c r="F43" s="1" t="s">
        <v>103</v>
      </c>
    </row>
    <row r="44" spans="1:6" s="24" customFormat="1" ht="25.5" x14ac:dyDescent="0.25">
      <c r="A44" s="14" t="s">
        <v>719</v>
      </c>
      <c r="B44" s="29" t="s">
        <v>783</v>
      </c>
      <c r="C44" s="30">
        <v>138000.6</v>
      </c>
      <c r="D44" s="30">
        <v>137118.9</v>
      </c>
    </row>
    <row r="45" spans="1:6" s="23" customFormat="1" ht="25.5" x14ac:dyDescent="0.25">
      <c r="A45" s="14" t="s">
        <v>721</v>
      </c>
      <c r="B45" s="29" t="s">
        <v>784</v>
      </c>
      <c r="C45" s="30">
        <v>63.3</v>
      </c>
      <c r="D45" s="30">
        <v>62.9</v>
      </c>
    </row>
    <row r="46" spans="1:6" s="23" customFormat="1" ht="27" x14ac:dyDescent="0.25">
      <c r="A46" s="31" t="s">
        <v>787</v>
      </c>
      <c r="B46" s="32" t="s">
        <v>788</v>
      </c>
      <c r="C46" s="33">
        <f>SUM(C47)</f>
        <v>18006.600000000002</v>
      </c>
      <c r="D46" s="33">
        <f>SUM(D47)</f>
        <v>18122.5</v>
      </c>
    </row>
    <row r="47" spans="1:6" s="23" customFormat="1" x14ac:dyDescent="0.25">
      <c r="A47" s="14" t="s">
        <v>725</v>
      </c>
      <c r="B47" s="29" t="s">
        <v>726</v>
      </c>
      <c r="C47" s="30">
        <f>C48+C49+C50+C51+C52+C53</f>
        <v>18006.600000000002</v>
      </c>
      <c r="D47" s="30">
        <f>D48+D49+D50+D51+D52+D53</f>
        <v>18122.5</v>
      </c>
    </row>
    <row r="48" spans="1:6" s="23" customFormat="1" ht="26.25" x14ac:dyDescent="0.25">
      <c r="A48" s="14"/>
      <c r="B48" s="34" t="s">
        <v>65</v>
      </c>
      <c r="C48" s="30">
        <v>1015.7</v>
      </c>
      <c r="D48" s="30">
        <v>1022.3</v>
      </c>
    </row>
    <row r="49" spans="1:6" s="23" customFormat="1" ht="51" x14ac:dyDescent="0.25">
      <c r="A49" s="14"/>
      <c r="B49" s="29" t="s">
        <v>66</v>
      </c>
      <c r="C49" s="30">
        <v>14057.6</v>
      </c>
      <c r="D49" s="30">
        <v>14148</v>
      </c>
    </row>
    <row r="50" spans="1:6" s="23" customFormat="1" ht="25.5" x14ac:dyDescent="0.25">
      <c r="A50" s="14"/>
      <c r="B50" s="29" t="s">
        <v>67</v>
      </c>
      <c r="C50" s="30">
        <v>0</v>
      </c>
      <c r="D50" s="30">
        <v>0</v>
      </c>
    </row>
    <row r="51" spans="1:6" s="23" customFormat="1" x14ac:dyDescent="0.25">
      <c r="A51" s="14"/>
      <c r="B51" s="29" t="s">
        <v>68</v>
      </c>
      <c r="C51" s="30">
        <v>1394.4</v>
      </c>
      <c r="D51" s="30">
        <v>1403.4</v>
      </c>
    </row>
    <row r="52" spans="1:6" s="23" customFormat="1" ht="25.5" x14ac:dyDescent="0.25">
      <c r="A52" s="14"/>
      <c r="B52" s="29" t="s">
        <v>69</v>
      </c>
      <c r="C52" s="30">
        <v>0</v>
      </c>
      <c r="D52" s="30">
        <v>0</v>
      </c>
    </row>
    <row r="53" spans="1:6" s="23" customFormat="1" ht="25.5" x14ac:dyDescent="0.25">
      <c r="A53" s="14"/>
      <c r="B53" s="29" t="s">
        <v>102</v>
      </c>
      <c r="C53" s="30">
        <v>1538.9</v>
      </c>
      <c r="D53" s="30">
        <v>1548.8</v>
      </c>
    </row>
    <row r="54" spans="1:6" s="23" customFormat="1" x14ac:dyDescent="0.25">
      <c r="A54" s="31" t="s">
        <v>789</v>
      </c>
      <c r="B54" s="32" t="s">
        <v>790</v>
      </c>
      <c r="C54" s="33">
        <f>C55+C56+C57+C69+C70+C71+C72+C73</f>
        <v>265372.40000000002</v>
      </c>
      <c r="D54" s="33">
        <f>D55+D56+D57+D69+D70+D71+D72+D73</f>
        <v>267079</v>
      </c>
    </row>
    <row r="55" spans="1:6" s="25" customFormat="1" ht="38.25" x14ac:dyDescent="0.2">
      <c r="A55" s="42" t="s">
        <v>731</v>
      </c>
      <c r="B55" s="421" t="s">
        <v>791</v>
      </c>
      <c r="C55" s="35">
        <v>31.4</v>
      </c>
      <c r="D55" s="35">
        <v>31.6</v>
      </c>
    </row>
    <row r="56" spans="1:6" s="23" customFormat="1" ht="25.5" x14ac:dyDescent="0.25">
      <c r="A56" s="42" t="s">
        <v>735</v>
      </c>
      <c r="B56" s="422" t="s">
        <v>736</v>
      </c>
      <c r="C56" s="30">
        <v>10320</v>
      </c>
      <c r="D56" s="30">
        <v>10386.4</v>
      </c>
    </row>
    <row r="57" spans="1:6" s="23" customFormat="1" ht="25.5" x14ac:dyDescent="0.25">
      <c r="A57" s="14" t="s">
        <v>737</v>
      </c>
      <c r="B57" s="38" t="s">
        <v>738</v>
      </c>
      <c r="C57" s="39">
        <f>SUM(C58:C68)</f>
        <v>217910.19999999998</v>
      </c>
      <c r="D57" s="39">
        <f>SUM(D58:D68)</f>
        <v>219311.49999999997</v>
      </c>
    </row>
    <row r="58" spans="1:6" s="23" customFormat="1" ht="51" x14ac:dyDescent="0.25">
      <c r="A58" s="14"/>
      <c r="B58" s="38" t="s">
        <v>74</v>
      </c>
      <c r="C58" s="30">
        <v>198177.1</v>
      </c>
      <c r="D58" s="30">
        <v>199451.4</v>
      </c>
      <c r="F58" s="23" t="s">
        <v>32</v>
      </c>
    </row>
    <row r="59" spans="1:6" s="23" customFormat="1" ht="51" x14ac:dyDescent="0.25">
      <c r="A59" s="14"/>
      <c r="B59" s="38" t="s">
        <v>75</v>
      </c>
      <c r="C59" s="30">
        <v>5384.8</v>
      </c>
      <c r="D59" s="30">
        <v>5419.4</v>
      </c>
    </row>
    <row r="60" spans="1:6" s="23" customFormat="1" ht="26.25" x14ac:dyDescent="0.25">
      <c r="A60" s="40"/>
      <c r="B60" s="34" t="s">
        <v>76</v>
      </c>
      <c r="C60" s="30">
        <v>6.3</v>
      </c>
      <c r="D60" s="30">
        <v>6.3</v>
      </c>
    </row>
    <row r="61" spans="1:6" s="23" customFormat="1" ht="25.5" x14ac:dyDescent="0.25">
      <c r="A61" s="14"/>
      <c r="B61" s="38" t="s">
        <v>77</v>
      </c>
      <c r="C61" s="30">
        <v>247.1</v>
      </c>
      <c r="D61" s="30">
        <v>248.7</v>
      </c>
    </row>
    <row r="62" spans="1:6" s="24" customFormat="1" ht="25.5" x14ac:dyDescent="0.25">
      <c r="A62" s="14"/>
      <c r="B62" s="36" t="s">
        <v>78</v>
      </c>
      <c r="C62" s="30">
        <v>4515.6000000000004</v>
      </c>
      <c r="D62" s="30">
        <v>4544.7</v>
      </c>
    </row>
    <row r="63" spans="1:6" s="23" customFormat="1" ht="25.5" x14ac:dyDescent="0.25">
      <c r="A63" s="14"/>
      <c r="B63" s="38" t="s">
        <v>79</v>
      </c>
      <c r="C63" s="30">
        <v>6965.6</v>
      </c>
      <c r="D63" s="30">
        <v>7010.4</v>
      </c>
    </row>
    <row r="64" spans="1:6" s="23" customFormat="1" ht="38.25" x14ac:dyDescent="0.25">
      <c r="A64" s="14"/>
      <c r="B64" s="37" t="s">
        <v>80</v>
      </c>
      <c r="C64" s="30">
        <v>497.6</v>
      </c>
      <c r="D64" s="30">
        <v>500.8</v>
      </c>
    </row>
    <row r="65" spans="1:7" s="6" customFormat="1" ht="25.5" x14ac:dyDescent="0.2">
      <c r="A65" s="14"/>
      <c r="B65" s="38" t="s">
        <v>81</v>
      </c>
      <c r="C65" s="30">
        <v>384.3</v>
      </c>
      <c r="D65" s="30">
        <v>386.8</v>
      </c>
    </row>
    <row r="66" spans="1:7" ht="25.5" x14ac:dyDescent="0.25">
      <c r="A66" s="14"/>
      <c r="B66" s="38" t="s">
        <v>82</v>
      </c>
      <c r="C66" s="30">
        <v>349.4</v>
      </c>
      <c r="D66" s="30">
        <v>351.7</v>
      </c>
    </row>
    <row r="67" spans="1:7" ht="38.25" x14ac:dyDescent="0.25">
      <c r="A67" s="14"/>
      <c r="B67" s="38" t="s">
        <v>83</v>
      </c>
      <c r="C67" s="30">
        <v>1382.4</v>
      </c>
      <c r="D67" s="30">
        <v>1391.3</v>
      </c>
    </row>
    <row r="68" spans="1:7" ht="26.25" x14ac:dyDescent="0.25">
      <c r="A68" s="14"/>
      <c r="B68" s="41" t="s">
        <v>84</v>
      </c>
      <c r="C68" s="30">
        <v>0</v>
      </c>
      <c r="D68" s="30">
        <v>0</v>
      </c>
    </row>
    <row r="69" spans="1:7" ht="51" x14ac:dyDescent="0.25">
      <c r="A69" s="42" t="s">
        <v>741</v>
      </c>
      <c r="B69" s="422" t="s">
        <v>792</v>
      </c>
      <c r="C69" s="30">
        <v>3219.9</v>
      </c>
      <c r="D69" s="30">
        <v>3240.6</v>
      </c>
    </row>
    <row r="70" spans="1:7" ht="25.5" x14ac:dyDescent="0.25">
      <c r="A70" s="42" t="s">
        <v>733</v>
      </c>
      <c r="B70" s="426" t="s">
        <v>793</v>
      </c>
      <c r="C70" s="30">
        <v>673.2</v>
      </c>
      <c r="D70" s="30">
        <v>677.6</v>
      </c>
    </row>
    <row r="71" spans="1:7" ht="38.25" x14ac:dyDescent="0.25">
      <c r="A71" s="42" t="s">
        <v>729</v>
      </c>
      <c r="B71" s="427" t="s">
        <v>794</v>
      </c>
      <c r="C71" s="30">
        <v>181</v>
      </c>
      <c r="D71" s="30">
        <v>182.1</v>
      </c>
    </row>
    <row r="72" spans="1:7" ht="33" customHeight="1" x14ac:dyDescent="0.25">
      <c r="A72" s="42" t="s">
        <v>727</v>
      </c>
      <c r="B72" s="428" t="s">
        <v>728</v>
      </c>
      <c r="C72" s="30">
        <v>3691.2</v>
      </c>
      <c r="D72" s="30">
        <v>3715</v>
      </c>
    </row>
    <row r="73" spans="1:7" ht="51.75" x14ac:dyDescent="0.25">
      <c r="A73" s="42" t="s">
        <v>743</v>
      </c>
      <c r="B73" s="430" t="s">
        <v>795</v>
      </c>
      <c r="C73" s="30">
        <v>29345.5</v>
      </c>
      <c r="D73" s="30">
        <v>29534.2</v>
      </c>
    </row>
    <row r="74" spans="1:7" x14ac:dyDescent="0.25">
      <c r="A74" s="31" t="s">
        <v>796</v>
      </c>
      <c r="B74" s="43" t="s">
        <v>86</v>
      </c>
      <c r="C74" s="33">
        <f>C75+C76</f>
        <v>1301</v>
      </c>
      <c r="D74" s="33">
        <f>D75+D76</f>
        <v>1417</v>
      </c>
    </row>
    <row r="75" spans="1:7" ht="38.25" x14ac:dyDescent="0.25">
      <c r="A75" s="14" t="s">
        <v>750</v>
      </c>
      <c r="B75" s="38" t="s">
        <v>91</v>
      </c>
      <c r="C75" s="44">
        <v>1301</v>
      </c>
      <c r="D75" s="44">
        <v>1417</v>
      </c>
    </row>
    <row r="76" spans="1:7" ht="38.25" x14ac:dyDescent="0.25">
      <c r="A76" s="14" t="s">
        <v>797</v>
      </c>
      <c r="B76" s="38" t="s">
        <v>92</v>
      </c>
      <c r="C76" s="30">
        <v>0</v>
      </c>
      <c r="D76" s="30">
        <v>0</v>
      </c>
    </row>
    <row r="77" spans="1:7" x14ac:dyDescent="0.25">
      <c r="A77" s="45"/>
      <c r="B77" s="46" t="s">
        <v>93</v>
      </c>
      <c r="C77" s="27">
        <f>C41+C15</f>
        <v>456140.9</v>
      </c>
      <c r="D77" s="27">
        <f>D41+D15</f>
        <v>458821.3</v>
      </c>
    </row>
    <row r="78" spans="1:7" s="48" customFormat="1" x14ac:dyDescent="0.25">
      <c r="A78" s="2"/>
      <c r="B78" s="47"/>
      <c r="C78" s="48">
        <v>456140.9</v>
      </c>
      <c r="D78" s="2">
        <v>458821.3</v>
      </c>
      <c r="E78" s="2"/>
      <c r="F78" s="2"/>
      <c r="G78" s="2"/>
    </row>
    <row r="79" spans="1:7" s="48" customFormat="1" x14ac:dyDescent="0.25">
      <c r="A79" s="2"/>
      <c r="B79" s="47"/>
      <c r="C79" s="48">
        <f>C78-C77</f>
        <v>0</v>
      </c>
      <c r="D79" s="48">
        <f>D78-D77</f>
        <v>0</v>
      </c>
      <c r="E79" s="2"/>
      <c r="F79" s="2"/>
      <c r="G79" s="2"/>
    </row>
    <row r="80" spans="1:7" s="48" customFormat="1" x14ac:dyDescent="0.25">
      <c r="A80" s="2"/>
      <c r="B80" s="47"/>
      <c r="D80" s="2"/>
      <c r="E80" s="2"/>
      <c r="F80" s="2"/>
      <c r="G80" s="2"/>
    </row>
    <row r="81" spans="1:7" s="48" customFormat="1" x14ac:dyDescent="0.25">
      <c r="A81" s="2"/>
      <c r="B81" s="47"/>
      <c r="D81" s="2"/>
      <c r="E81" s="2"/>
      <c r="F81" s="2"/>
      <c r="G81" s="2"/>
    </row>
    <row r="82" spans="1:7" s="48" customFormat="1" x14ac:dyDescent="0.25">
      <c r="A82" s="2"/>
      <c r="B82" s="47"/>
      <c r="D82" s="2"/>
      <c r="E82" s="2"/>
      <c r="F82" s="2"/>
      <c r="G82" s="2"/>
    </row>
    <row r="83" spans="1:7" s="48" customFormat="1" x14ac:dyDescent="0.25">
      <c r="A83" s="2"/>
      <c r="B83" s="47"/>
      <c r="D83" s="2"/>
      <c r="E83" s="2"/>
      <c r="F83" s="2"/>
      <c r="G83" s="2"/>
    </row>
    <row r="84" spans="1:7" s="48" customFormat="1" x14ac:dyDescent="0.25">
      <c r="A84" s="2"/>
      <c r="B84" s="47"/>
      <c r="D84" s="2"/>
      <c r="E84" s="2"/>
      <c r="F84" s="2"/>
      <c r="G84" s="2"/>
    </row>
    <row r="85" spans="1:7" s="48" customFormat="1" x14ac:dyDescent="0.25">
      <c r="A85" s="2"/>
      <c r="B85" s="47"/>
      <c r="D85" s="2"/>
      <c r="E85" s="2"/>
      <c r="F85" s="2"/>
      <c r="G85" s="2"/>
    </row>
    <row r="86" spans="1:7" s="48" customFormat="1" x14ac:dyDescent="0.25">
      <c r="A86" s="2"/>
      <c r="B86" s="47"/>
      <c r="D86" s="2"/>
      <c r="E86" s="2"/>
      <c r="F86" s="2"/>
      <c r="G86" s="2"/>
    </row>
    <row r="87" spans="1:7" s="48" customFormat="1" x14ac:dyDescent="0.25">
      <c r="A87" s="2"/>
      <c r="B87" s="47"/>
      <c r="D87" s="2"/>
      <c r="E87" s="2"/>
      <c r="F87" s="2"/>
      <c r="G87" s="2"/>
    </row>
    <row r="88" spans="1:7" s="48" customFormat="1" x14ac:dyDescent="0.25">
      <c r="A88" s="2"/>
      <c r="B88" s="47"/>
      <c r="D88" s="2"/>
      <c r="E88" s="2"/>
      <c r="F88" s="2"/>
      <c r="G88" s="2"/>
    </row>
    <row r="89" spans="1:7" s="48" customFormat="1" x14ac:dyDescent="0.25">
      <c r="A89" s="2"/>
      <c r="B89" s="47"/>
      <c r="D89" s="2"/>
      <c r="E89" s="2"/>
      <c r="F89" s="2"/>
      <c r="G89" s="2"/>
    </row>
    <row r="90" spans="1:7" s="48" customFormat="1" x14ac:dyDescent="0.25">
      <c r="A90" s="2"/>
      <c r="B90" s="47"/>
      <c r="D90" s="2"/>
      <c r="E90" s="2"/>
      <c r="F90" s="2"/>
      <c r="G90" s="2"/>
    </row>
    <row r="91" spans="1:7" s="48" customFormat="1" x14ac:dyDescent="0.25">
      <c r="A91" s="2"/>
      <c r="B91" s="47"/>
      <c r="D91" s="2"/>
      <c r="E91" s="2"/>
      <c r="F91" s="2"/>
      <c r="G91" s="2"/>
    </row>
    <row r="92" spans="1:7" s="48" customFormat="1" x14ac:dyDescent="0.25">
      <c r="A92" s="2"/>
      <c r="B92" s="47"/>
      <c r="D92" s="2"/>
      <c r="E92" s="2"/>
      <c r="F92" s="2"/>
      <c r="G92" s="2"/>
    </row>
    <row r="93" spans="1:7" s="48" customFormat="1" x14ac:dyDescent="0.25">
      <c r="A93" s="2"/>
      <c r="B93" s="47"/>
      <c r="D93" s="2"/>
      <c r="E93" s="2"/>
      <c r="F93" s="2"/>
      <c r="G93" s="2"/>
    </row>
    <row r="94" spans="1:7" s="48" customFormat="1" x14ac:dyDescent="0.25">
      <c r="A94" s="2"/>
      <c r="B94" s="47"/>
      <c r="D94" s="2"/>
      <c r="E94" s="2"/>
      <c r="F94" s="2"/>
      <c r="G94" s="2"/>
    </row>
    <row r="95" spans="1:7" s="48" customFormat="1" x14ac:dyDescent="0.25">
      <c r="A95" s="2"/>
      <c r="B95" s="47"/>
      <c r="D95" s="2"/>
      <c r="E95" s="2"/>
      <c r="F95" s="2"/>
      <c r="G95" s="2"/>
    </row>
    <row r="96" spans="1:7" s="48" customFormat="1" x14ac:dyDescent="0.25">
      <c r="A96" s="2"/>
      <c r="B96" s="47"/>
      <c r="D96" s="2"/>
      <c r="E96" s="2"/>
      <c r="F96" s="2"/>
      <c r="G96" s="2"/>
    </row>
    <row r="97" spans="1:7" s="48" customFormat="1" x14ac:dyDescent="0.25">
      <c r="A97" s="2"/>
      <c r="B97" s="47"/>
      <c r="D97" s="2"/>
      <c r="E97" s="2"/>
      <c r="F97" s="2"/>
      <c r="G97" s="2"/>
    </row>
    <row r="98" spans="1:7" s="48" customFormat="1" x14ac:dyDescent="0.25">
      <c r="A98" s="2"/>
      <c r="B98" s="47"/>
      <c r="D98" s="2"/>
      <c r="E98" s="2"/>
      <c r="F98" s="2"/>
      <c r="G98" s="2"/>
    </row>
    <row r="99" spans="1:7" s="48" customFormat="1" x14ac:dyDescent="0.25">
      <c r="A99" s="2"/>
      <c r="B99" s="47"/>
      <c r="D99" s="2"/>
      <c r="E99" s="2"/>
      <c r="F99" s="2"/>
      <c r="G99" s="2"/>
    </row>
    <row r="100" spans="1:7" s="48" customFormat="1" x14ac:dyDescent="0.25">
      <c r="A100" s="2"/>
      <c r="B100" s="47"/>
      <c r="D100" s="2"/>
      <c r="E100" s="2"/>
      <c r="F100" s="2"/>
      <c r="G100" s="2"/>
    </row>
    <row r="101" spans="1:7" s="48" customFormat="1" x14ac:dyDescent="0.25">
      <c r="A101" s="2"/>
      <c r="B101" s="47"/>
      <c r="D101" s="2"/>
      <c r="E101" s="2"/>
      <c r="F101" s="2"/>
      <c r="G101" s="2"/>
    </row>
    <row r="102" spans="1:7" s="48" customFormat="1" x14ac:dyDescent="0.25">
      <c r="A102" s="2"/>
      <c r="B102" s="47"/>
      <c r="D102" s="2"/>
      <c r="E102" s="2"/>
      <c r="F102" s="2"/>
      <c r="G102" s="2"/>
    </row>
    <row r="103" spans="1:7" s="48" customFormat="1" x14ac:dyDescent="0.25">
      <c r="A103" s="2"/>
      <c r="B103" s="47"/>
      <c r="D103" s="2"/>
      <c r="E103" s="2"/>
      <c r="F103" s="2"/>
      <c r="G103" s="2"/>
    </row>
    <row r="104" spans="1:7" s="48" customFormat="1" x14ac:dyDescent="0.25">
      <c r="A104" s="2"/>
      <c r="B104" s="47"/>
      <c r="D104" s="2"/>
      <c r="E104" s="2"/>
      <c r="F104" s="2"/>
      <c r="G104" s="2"/>
    </row>
    <row r="105" spans="1:7" s="48" customFormat="1" x14ac:dyDescent="0.25">
      <c r="A105" s="2"/>
      <c r="B105" s="47"/>
      <c r="D105" s="2"/>
      <c r="E105" s="2"/>
      <c r="F105" s="2"/>
      <c r="G105" s="2"/>
    </row>
    <row r="106" spans="1:7" s="48" customFormat="1" x14ac:dyDescent="0.25">
      <c r="A106" s="2"/>
      <c r="B106" s="47"/>
      <c r="D106" s="2"/>
      <c r="E106" s="2"/>
      <c r="F106" s="2"/>
      <c r="G106" s="2"/>
    </row>
    <row r="107" spans="1:7" s="48" customFormat="1" x14ac:dyDescent="0.25">
      <c r="A107" s="2"/>
      <c r="B107" s="47"/>
      <c r="D107" s="2"/>
      <c r="E107" s="2"/>
      <c r="F107" s="2"/>
      <c r="G107" s="2"/>
    </row>
    <row r="108" spans="1:7" s="48" customFormat="1" x14ac:dyDescent="0.25">
      <c r="A108" s="2"/>
      <c r="B108" s="47"/>
      <c r="D108" s="2"/>
      <c r="E108" s="2"/>
      <c r="F108" s="2"/>
      <c r="G108" s="2"/>
    </row>
    <row r="109" spans="1:7" s="48" customFormat="1" x14ac:dyDescent="0.25">
      <c r="A109" s="2"/>
      <c r="B109" s="47"/>
      <c r="D109" s="2"/>
      <c r="E109" s="2"/>
      <c r="F109" s="2"/>
      <c r="G109" s="2"/>
    </row>
    <row r="110" spans="1:7" s="48" customFormat="1" x14ac:dyDescent="0.25">
      <c r="A110" s="2"/>
      <c r="B110" s="47"/>
      <c r="D110" s="2"/>
      <c r="E110" s="2"/>
      <c r="F110" s="2"/>
      <c r="G110" s="2"/>
    </row>
    <row r="111" spans="1:7" s="48" customFormat="1" x14ac:dyDescent="0.25">
      <c r="A111" s="2"/>
      <c r="B111" s="47"/>
      <c r="D111" s="2"/>
      <c r="E111" s="2"/>
      <c r="F111" s="2"/>
      <c r="G111" s="2"/>
    </row>
    <row r="112" spans="1:7" s="48" customFormat="1" x14ac:dyDescent="0.25">
      <c r="A112" s="2"/>
      <c r="B112" s="47"/>
      <c r="D112" s="2"/>
      <c r="E112" s="2"/>
      <c r="F112" s="2"/>
      <c r="G112" s="2"/>
    </row>
    <row r="113" spans="1:7" s="48" customFormat="1" x14ac:dyDescent="0.25">
      <c r="A113" s="2"/>
      <c r="B113" s="47"/>
      <c r="D113" s="2"/>
      <c r="E113" s="2"/>
      <c r="F113" s="2"/>
      <c r="G113" s="2"/>
    </row>
    <row r="114" spans="1:7" s="48" customFormat="1" x14ac:dyDescent="0.25">
      <c r="A114" s="2"/>
      <c r="B114" s="47"/>
      <c r="D114" s="2"/>
      <c r="E114" s="2"/>
      <c r="F114" s="2"/>
      <c r="G114" s="2"/>
    </row>
    <row r="115" spans="1:7" s="48" customFormat="1" x14ac:dyDescent="0.25">
      <c r="A115" s="2"/>
      <c r="B115" s="47"/>
      <c r="D115" s="2"/>
      <c r="E115" s="2"/>
      <c r="F115" s="2"/>
      <c r="G115" s="2"/>
    </row>
    <row r="116" spans="1:7" s="48" customFormat="1" x14ac:dyDescent="0.25">
      <c r="A116" s="2"/>
      <c r="B116" s="47"/>
      <c r="D116" s="2"/>
      <c r="E116" s="2"/>
      <c r="F116" s="2"/>
      <c r="G116" s="2"/>
    </row>
    <row r="117" spans="1:7" s="48" customFormat="1" x14ac:dyDescent="0.25">
      <c r="A117" s="2"/>
      <c r="B117" s="47"/>
      <c r="D117" s="2"/>
      <c r="E117" s="2"/>
      <c r="F117" s="2"/>
      <c r="G117" s="2"/>
    </row>
    <row r="118" spans="1:7" s="48" customFormat="1" x14ac:dyDescent="0.25">
      <c r="A118" s="2"/>
      <c r="B118" s="47"/>
      <c r="D118" s="2"/>
      <c r="E118" s="2"/>
      <c r="F118" s="2"/>
      <c r="G118" s="2"/>
    </row>
    <row r="119" spans="1:7" s="48" customFormat="1" x14ac:dyDescent="0.25">
      <c r="A119" s="2"/>
      <c r="B119" s="47"/>
      <c r="D119" s="2"/>
      <c r="E119" s="2"/>
      <c r="F119" s="2"/>
      <c r="G119" s="2"/>
    </row>
    <row r="120" spans="1:7" s="48" customFormat="1" x14ac:dyDescent="0.25">
      <c r="A120" s="2"/>
      <c r="B120" s="47"/>
      <c r="D120" s="2"/>
      <c r="E120" s="2"/>
      <c r="F120" s="2"/>
      <c r="G120" s="2"/>
    </row>
    <row r="121" spans="1:7" s="48" customFormat="1" x14ac:dyDescent="0.25">
      <c r="A121" s="2"/>
      <c r="B121" s="47"/>
      <c r="D121" s="2"/>
      <c r="E121" s="2"/>
      <c r="F121" s="2"/>
      <c r="G121" s="2"/>
    </row>
    <row r="122" spans="1:7" s="48" customFormat="1" x14ac:dyDescent="0.25">
      <c r="A122" s="2"/>
      <c r="B122" s="47"/>
      <c r="D122" s="2"/>
      <c r="E122" s="2"/>
      <c r="F122" s="2"/>
      <c r="G122" s="2"/>
    </row>
    <row r="123" spans="1:7" s="48" customFormat="1" x14ac:dyDescent="0.25">
      <c r="A123" s="2"/>
      <c r="B123" s="47"/>
      <c r="D123" s="2"/>
      <c r="E123" s="2"/>
      <c r="F123" s="2"/>
      <c r="G123" s="2"/>
    </row>
    <row r="124" spans="1:7" s="48" customFormat="1" x14ac:dyDescent="0.25">
      <c r="A124" s="2"/>
      <c r="B124" s="47"/>
      <c r="D124" s="2"/>
      <c r="E124" s="2"/>
      <c r="F124" s="2"/>
      <c r="G124" s="2"/>
    </row>
    <row r="125" spans="1:7" s="48" customFormat="1" x14ac:dyDescent="0.25">
      <c r="A125" s="2"/>
      <c r="B125" s="47"/>
      <c r="D125" s="2"/>
      <c r="E125" s="2"/>
      <c r="F125" s="2"/>
      <c r="G125" s="2"/>
    </row>
    <row r="126" spans="1:7" s="48" customFormat="1" x14ac:dyDescent="0.25">
      <c r="A126" s="2"/>
      <c r="B126" s="47"/>
      <c r="D126" s="2"/>
      <c r="E126" s="2"/>
      <c r="F126" s="2"/>
      <c r="G126" s="2"/>
    </row>
    <row r="127" spans="1:7" s="48" customFormat="1" x14ac:dyDescent="0.25">
      <c r="A127" s="2"/>
      <c r="B127" s="47"/>
      <c r="D127" s="2"/>
      <c r="E127" s="2"/>
      <c r="F127" s="2"/>
      <c r="G127" s="2"/>
    </row>
    <row r="128" spans="1:7" s="48" customFormat="1" x14ac:dyDescent="0.25">
      <c r="A128" s="2"/>
      <c r="B128" s="47"/>
      <c r="D128" s="2"/>
      <c r="E128" s="2"/>
      <c r="F128" s="2"/>
      <c r="G128" s="2"/>
    </row>
    <row r="129" spans="1:7" s="48" customFormat="1" x14ac:dyDescent="0.25">
      <c r="A129" s="2"/>
      <c r="B129" s="47"/>
      <c r="D129" s="2"/>
      <c r="E129" s="2"/>
      <c r="F129" s="2"/>
      <c r="G129" s="2"/>
    </row>
    <row r="130" spans="1:7" s="48" customFormat="1" x14ac:dyDescent="0.25">
      <c r="A130" s="2"/>
      <c r="B130" s="47"/>
      <c r="D130" s="2"/>
      <c r="E130" s="2"/>
      <c r="F130" s="2"/>
      <c r="G130" s="2"/>
    </row>
    <row r="131" spans="1:7" s="48" customFormat="1" x14ac:dyDescent="0.25">
      <c r="A131" s="2"/>
      <c r="B131" s="47"/>
      <c r="D131" s="2"/>
      <c r="E131" s="2"/>
      <c r="F131" s="2"/>
      <c r="G131" s="2"/>
    </row>
    <row r="132" spans="1:7" s="48" customFormat="1" x14ac:dyDescent="0.25">
      <c r="A132" s="2"/>
      <c r="B132" s="47"/>
      <c r="D132" s="2"/>
      <c r="E132" s="2"/>
      <c r="F132" s="2"/>
      <c r="G132" s="2"/>
    </row>
    <row r="133" spans="1:7" s="48" customFormat="1" x14ac:dyDescent="0.25">
      <c r="A133" s="2"/>
      <c r="B133" s="47"/>
      <c r="D133" s="2"/>
      <c r="E133" s="2"/>
      <c r="F133" s="2"/>
      <c r="G133" s="2"/>
    </row>
    <row r="134" spans="1:7" s="48" customFormat="1" x14ac:dyDescent="0.25">
      <c r="A134" s="2"/>
      <c r="B134" s="47"/>
      <c r="D134" s="2"/>
      <c r="E134" s="2"/>
      <c r="F134" s="2"/>
      <c r="G134" s="2"/>
    </row>
    <row r="135" spans="1:7" s="48" customFormat="1" x14ac:dyDescent="0.25">
      <c r="A135" s="2"/>
      <c r="B135" s="47"/>
      <c r="D135" s="2"/>
      <c r="E135" s="2"/>
      <c r="F135" s="2"/>
      <c r="G135" s="2"/>
    </row>
    <row r="136" spans="1:7" s="48" customFormat="1" x14ac:dyDescent="0.25">
      <c r="A136" s="2"/>
      <c r="B136" s="47"/>
      <c r="D136" s="2"/>
      <c r="E136" s="2"/>
      <c r="F136" s="2"/>
      <c r="G136" s="2"/>
    </row>
    <row r="137" spans="1:7" s="48" customFormat="1" x14ac:dyDescent="0.25">
      <c r="A137" s="2"/>
      <c r="B137" s="47"/>
      <c r="D137" s="2"/>
      <c r="E137" s="2"/>
      <c r="F137" s="2"/>
      <c r="G137" s="2"/>
    </row>
    <row r="138" spans="1:7" s="48" customFormat="1" x14ac:dyDescent="0.25">
      <c r="A138" s="2"/>
      <c r="B138" s="47"/>
      <c r="D138" s="2"/>
      <c r="E138" s="2"/>
      <c r="F138" s="2"/>
      <c r="G138" s="2"/>
    </row>
    <row r="139" spans="1:7" s="48" customFormat="1" x14ac:dyDescent="0.25">
      <c r="A139" s="2"/>
      <c r="B139" s="47"/>
      <c r="D139" s="2"/>
      <c r="E139" s="2"/>
      <c r="F139" s="2"/>
      <c r="G139" s="2"/>
    </row>
    <row r="140" spans="1:7" s="48" customFormat="1" x14ac:dyDescent="0.25">
      <c r="A140" s="2"/>
      <c r="B140" s="47"/>
      <c r="D140" s="2"/>
      <c r="E140" s="2"/>
      <c r="F140" s="2"/>
      <c r="G140" s="2"/>
    </row>
    <row r="141" spans="1:7" s="48" customFormat="1" x14ac:dyDescent="0.25">
      <c r="A141" s="2"/>
      <c r="B141" s="47"/>
      <c r="D141" s="2"/>
      <c r="E141" s="2"/>
      <c r="F141" s="2"/>
      <c r="G141" s="2"/>
    </row>
    <row r="142" spans="1:7" s="48" customFormat="1" x14ac:dyDescent="0.25">
      <c r="A142" s="2"/>
      <c r="B142" s="47"/>
      <c r="D142" s="2"/>
      <c r="E142" s="2"/>
      <c r="F142" s="2"/>
      <c r="G142" s="2"/>
    </row>
    <row r="143" spans="1:7" s="48" customFormat="1" x14ac:dyDescent="0.25">
      <c r="A143" s="2"/>
      <c r="B143" s="47"/>
      <c r="D143" s="2"/>
      <c r="E143" s="2"/>
      <c r="F143" s="2"/>
      <c r="G143" s="2"/>
    </row>
    <row r="144" spans="1:7" s="48" customFormat="1" x14ac:dyDescent="0.25">
      <c r="A144" s="2"/>
      <c r="B144" s="47"/>
      <c r="D144" s="2"/>
      <c r="E144" s="2"/>
      <c r="F144" s="2"/>
      <c r="G144" s="2"/>
    </row>
    <row r="145" spans="1:7" s="48" customFormat="1" x14ac:dyDescent="0.25">
      <c r="A145" s="2"/>
      <c r="B145" s="47"/>
      <c r="D145" s="2"/>
      <c r="E145" s="2"/>
      <c r="F145" s="2"/>
      <c r="G145" s="2"/>
    </row>
    <row r="146" spans="1:7" s="48" customFormat="1" x14ac:dyDescent="0.25">
      <c r="A146" s="2"/>
      <c r="B146" s="47"/>
      <c r="D146" s="2"/>
      <c r="E146" s="2"/>
      <c r="F146" s="2"/>
      <c r="G146" s="2"/>
    </row>
    <row r="147" spans="1:7" s="48" customFormat="1" x14ac:dyDescent="0.25">
      <c r="A147" s="2"/>
      <c r="B147" s="47"/>
      <c r="D147" s="2"/>
      <c r="E147" s="2"/>
      <c r="F147" s="2"/>
      <c r="G147" s="2"/>
    </row>
    <row r="148" spans="1:7" s="48" customFormat="1" x14ac:dyDescent="0.25">
      <c r="A148" s="2"/>
      <c r="B148" s="47"/>
      <c r="D148" s="2"/>
      <c r="E148" s="2"/>
      <c r="F148" s="2"/>
      <c r="G148" s="2"/>
    </row>
    <row r="149" spans="1:7" s="48" customFormat="1" x14ac:dyDescent="0.25">
      <c r="A149" s="2"/>
      <c r="B149" s="47"/>
      <c r="D149" s="2"/>
      <c r="E149" s="2"/>
      <c r="F149" s="2"/>
      <c r="G149" s="2"/>
    </row>
    <row r="150" spans="1:7" s="48" customFormat="1" x14ac:dyDescent="0.25">
      <c r="A150" s="2"/>
      <c r="B150" s="47"/>
      <c r="D150" s="2"/>
      <c r="E150" s="2"/>
      <c r="F150" s="2"/>
      <c r="G150" s="2"/>
    </row>
    <row r="151" spans="1:7" s="48" customFormat="1" x14ac:dyDescent="0.25">
      <c r="A151" s="2"/>
      <c r="B151" s="47"/>
      <c r="D151" s="2"/>
      <c r="E151" s="2"/>
      <c r="F151" s="2"/>
      <c r="G151" s="2"/>
    </row>
    <row r="152" spans="1:7" s="48" customFormat="1" x14ac:dyDescent="0.25">
      <c r="A152" s="2"/>
      <c r="B152" s="47"/>
      <c r="D152" s="2"/>
      <c r="E152" s="2"/>
      <c r="F152" s="2"/>
      <c r="G152" s="2"/>
    </row>
    <row r="153" spans="1:7" s="48" customFormat="1" x14ac:dyDescent="0.25">
      <c r="A153" s="2"/>
      <c r="B153" s="47"/>
      <c r="D153" s="2"/>
      <c r="E153" s="2"/>
      <c r="F153" s="2"/>
      <c r="G153" s="2"/>
    </row>
    <row r="154" spans="1:7" s="48" customFormat="1" x14ac:dyDescent="0.25">
      <c r="A154" s="2"/>
      <c r="B154" s="47"/>
      <c r="D154" s="2"/>
      <c r="E154" s="2"/>
      <c r="F154" s="2"/>
      <c r="G154" s="2"/>
    </row>
    <row r="155" spans="1:7" s="48" customFormat="1" x14ac:dyDescent="0.25">
      <c r="A155" s="2"/>
      <c r="B155" s="47"/>
      <c r="D155" s="2"/>
      <c r="E155" s="2"/>
      <c r="F155" s="2"/>
      <c r="G155" s="2"/>
    </row>
    <row r="156" spans="1:7" s="48" customFormat="1" x14ac:dyDescent="0.25">
      <c r="A156" s="2"/>
      <c r="B156" s="47"/>
      <c r="D156" s="2"/>
      <c r="E156" s="2"/>
      <c r="F156" s="2"/>
      <c r="G156" s="2"/>
    </row>
    <row r="157" spans="1:7" s="48" customFormat="1" x14ac:dyDescent="0.25">
      <c r="A157" s="2"/>
      <c r="B157" s="47"/>
      <c r="D157" s="2"/>
      <c r="E157" s="2"/>
      <c r="F157" s="2"/>
      <c r="G157" s="2"/>
    </row>
    <row r="158" spans="1:7" s="48" customFormat="1" x14ac:dyDescent="0.25">
      <c r="A158" s="2"/>
      <c r="B158" s="47"/>
      <c r="D158" s="2"/>
      <c r="E158" s="2"/>
      <c r="F158" s="2"/>
      <c r="G158" s="2"/>
    </row>
    <row r="159" spans="1:7" s="48" customFormat="1" x14ac:dyDescent="0.25">
      <c r="A159" s="2"/>
      <c r="B159" s="47"/>
      <c r="D159" s="2"/>
      <c r="E159" s="2"/>
      <c r="F159" s="2"/>
      <c r="G159" s="2"/>
    </row>
    <row r="160" spans="1:7" s="48" customFormat="1" x14ac:dyDescent="0.25">
      <c r="A160" s="2"/>
      <c r="B160" s="47"/>
      <c r="D160" s="2"/>
      <c r="E160" s="2"/>
      <c r="F160" s="2"/>
      <c r="G160" s="2"/>
    </row>
    <row r="161" spans="1:7" s="48" customFormat="1" x14ac:dyDescent="0.25">
      <c r="A161" s="2"/>
      <c r="B161" s="47"/>
      <c r="D161" s="2"/>
      <c r="E161" s="2"/>
      <c r="F161" s="2"/>
      <c r="G161" s="2"/>
    </row>
    <row r="162" spans="1:7" s="48" customFormat="1" x14ac:dyDescent="0.25">
      <c r="A162" s="2"/>
      <c r="B162" s="47"/>
      <c r="D162" s="2"/>
      <c r="E162" s="2"/>
      <c r="F162" s="2"/>
      <c r="G162" s="2"/>
    </row>
    <row r="163" spans="1:7" s="48" customFormat="1" x14ac:dyDescent="0.25">
      <c r="A163" s="2"/>
      <c r="B163" s="47"/>
      <c r="D163" s="2"/>
      <c r="E163" s="2"/>
      <c r="F163" s="2"/>
      <c r="G163" s="2"/>
    </row>
    <row r="164" spans="1:7" s="48" customFormat="1" x14ac:dyDescent="0.25">
      <c r="A164" s="2"/>
      <c r="B164" s="47"/>
      <c r="D164" s="2"/>
      <c r="E164" s="2"/>
      <c r="F164" s="2"/>
      <c r="G164" s="2"/>
    </row>
    <row r="165" spans="1:7" s="48" customFormat="1" x14ac:dyDescent="0.25">
      <c r="A165" s="2"/>
      <c r="B165" s="47"/>
      <c r="D165" s="2"/>
      <c r="E165" s="2"/>
      <c r="F165" s="2"/>
      <c r="G165" s="2"/>
    </row>
    <row r="166" spans="1:7" s="48" customFormat="1" x14ac:dyDescent="0.25">
      <c r="A166" s="2"/>
      <c r="B166" s="47"/>
      <c r="D166" s="2"/>
      <c r="E166" s="2"/>
      <c r="F166" s="2"/>
      <c r="G166" s="2"/>
    </row>
    <row r="167" spans="1:7" s="48" customFormat="1" x14ac:dyDescent="0.25">
      <c r="A167" s="2"/>
      <c r="B167" s="47"/>
      <c r="D167" s="2"/>
      <c r="E167" s="2"/>
      <c r="F167" s="2"/>
      <c r="G167" s="2"/>
    </row>
    <row r="168" spans="1:7" s="48" customFormat="1" x14ac:dyDescent="0.25">
      <c r="A168" s="2"/>
      <c r="B168" s="47"/>
      <c r="D168" s="2"/>
      <c r="E168" s="2"/>
      <c r="F168" s="2"/>
      <c r="G168" s="2"/>
    </row>
    <row r="169" spans="1:7" s="48" customFormat="1" x14ac:dyDescent="0.25">
      <c r="A169" s="2"/>
      <c r="B169" s="47"/>
      <c r="D169" s="2"/>
      <c r="E169" s="2"/>
      <c r="F169" s="2"/>
      <c r="G169" s="2"/>
    </row>
    <row r="170" spans="1:7" s="48" customFormat="1" x14ac:dyDescent="0.25">
      <c r="A170" s="2"/>
      <c r="B170" s="47"/>
      <c r="D170" s="2"/>
      <c r="E170" s="2"/>
      <c r="F170" s="2"/>
      <c r="G170" s="2"/>
    </row>
    <row r="171" spans="1:7" s="48" customFormat="1" x14ac:dyDescent="0.25">
      <c r="A171" s="2"/>
      <c r="B171" s="47"/>
      <c r="D171" s="2"/>
      <c r="E171" s="2"/>
      <c r="F171" s="2"/>
      <c r="G171" s="2"/>
    </row>
    <row r="172" spans="1:7" s="48" customFormat="1" x14ac:dyDescent="0.25">
      <c r="A172" s="2"/>
      <c r="B172" s="47"/>
      <c r="D172" s="2"/>
      <c r="E172" s="2"/>
      <c r="F172" s="2"/>
      <c r="G172" s="2"/>
    </row>
    <row r="173" spans="1:7" s="48" customFormat="1" x14ac:dyDescent="0.25">
      <c r="A173" s="2"/>
      <c r="B173" s="47"/>
      <c r="D173" s="2"/>
      <c r="E173" s="2"/>
      <c r="F173" s="2"/>
      <c r="G173" s="2"/>
    </row>
    <row r="174" spans="1:7" s="48" customFormat="1" x14ac:dyDescent="0.25">
      <c r="A174" s="2"/>
      <c r="B174" s="47"/>
      <c r="D174" s="2"/>
      <c r="E174" s="2"/>
      <c r="F174" s="2"/>
      <c r="G174" s="2"/>
    </row>
    <row r="175" spans="1:7" s="48" customFormat="1" x14ac:dyDescent="0.25">
      <c r="A175" s="2"/>
      <c r="B175" s="47"/>
      <c r="D175" s="2"/>
      <c r="E175" s="2"/>
      <c r="F175" s="2"/>
      <c r="G175" s="2"/>
    </row>
    <row r="176" spans="1:7" s="48" customFormat="1" x14ac:dyDescent="0.25">
      <c r="A176" s="2"/>
      <c r="B176" s="47"/>
      <c r="D176" s="2"/>
      <c r="E176" s="2"/>
      <c r="F176" s="2"/>
      <c r="G176" s="2"/>
    </row>
    <row r="177" spans="1:7" s="48" customFormat="1" x14ac:dyDescent="0.25">
      <c r="A177" s="2"/>
      <c r="B177" s="47"/>
      <c r="D177" s="2"/>
      <c r="E177" s="2"/>
      <c r="F177" s="2"/>
      <c r="G177" s="2"/>
    </row>
    <row r="178" spans="1:7" s="48" customFormat="1" x14ac:dyDescent="0.25">
      <c r="A178" s="2"/>
      <c r="B178" s="47"/>
      <c r="D178" s="2"/>
      <c r="E178" s="2"/>
      <c r="F178" s="2"/>
      <c r="G178" s="2"/>
    </row>
    <row r="179" spans="1:7" s="48" customFormat="1" x14ac:dyDescent="0.25">
      <c r="A179" s="2"/>
      <c r="B179" s="47"/>
      <c r="D179" s="2"/>
      <c r="E179" s="2"/>
      <c r="F179" s="2"/>
      <c r="G179" s="2"/>
    </row>
    <row r="180" spans="1:7" s="48" customFormat="1" x14ac:dyDescent="0.25">
      <c r="A180" s="2"/>
      <c r="B180" s="47"/>
      <c r="D180" s="2"/>
      <c r="E180" s="2"/>
      <c r="F180" s="2"/>
      <c r="G180" s="2"/>
    </row>
    <row r="181" spans="1:7" s="48" customFormat="1" x14ac:dyDescent="0.25">
      <c r="A181" s="2"/>
      <c r="B181" s="47"/>
      <c r="D181" s="2"/>
      <c r="E181" s="2"/>
      <c r="F181" s="2"/>
      <c r="G181" s="2"/>
    </row>
    <row r="182" spans="1:7" s="48" customFormat="1" x14ac:dyDescent="0.25">
      <c r="A182" s="2"/>
      <c r="B182" s="47"/>
      <c r="D182" s="2"/>
      <c r="E182" s="2"/>
      <c r="F182" s="2"/>
      <c r="G182" s="2"/>
    </row>
    <row r="183" spans="1:7" s="48" customFormat="1" x14ac:dyDescent="0.25">
      <c r="A183" s="2"/>
      <c r="B183" s="47"/>
      <c r="D183" s="2"/>
      <c r="E183" s="2"/>
      <c r="F183" s="2"/>
      <c r="G183" s="2"/>
    </row>
    <row r="184" spans="1:7" s="48" customFormat="1" x14ac:dyDescent="0.25">
      <c r="A184" s="2"/>
      <c r="B184" s="47"/>
      <c r="D184" s="2"/>
      <c r="E184" s="2"/>
      <c r="F184" s="2"/>
      <c r="G184" s="2"/>
    </row>
    <row r="185" spans="1:7" s="48" customFormat="1" x14ac:dyDescent="0.25">
      <c r="A185" s="2"/>
      <c r="B185" s="47"/>
      <c r="D185" s="2"/>
      <c r="E185" s="2"/>
      <c r="F185" s="2"/>
      <c r="G185" s="2"/>
    </row>
    <row r="186" spans="1:7" s="48" customFormat="1" x14ac:dyDescent="0.25">
      <c r="A186" s="2"/>
      <c r="B186" s="47"/>
      <c r="D186" s="2"/>
      <c r="E186" s="2"/>
      <c r="F186" s="2"/>
      <c r="G186" s="2"/>
    </row>
    <row r="187" spans="1:7" s="48" customFormat="1" x14ac:dyDescent="0.25">
      <c r="A187" s="2"/>
      <c r="B187" s="47"/>
      <c r="D187" s="2"/>
      <c r="E187" s="2"/>
      <c r="F187" s="2"/>
      <c r="G187" s="2"/>
    </row>
    <row r="188" spans="1:7" s="48" customFormat="1" x14ac:dyDescent="0.25">
      <c r="A188" s="2"/>
      <c r="B188" s="47"/>
      <c r="D188" s="2"/>
      <c r="E188" s="2"/>
      <c r="F188" s="2"/>
      <c r="G188" s="2"/>
    </row>
    <row r="189" spans="1:7" s="48" customFormat="1" x14ac:dyDescent="0.25">
      <c r="A189" s="2"/>
      <c r="B189" s="47"/>
      <c r="D189" s="2"/>
      <c r="E189" s="2"/>
      <c r="F189" s="2"/>
      <c r="G189" s="2"/>
    </row>
    <row r="190" spans="1:7" s="48" customFormat="1" x14ac:dyDescent="0.25">
      <c r="A190" s="2"/>
      <c r="B190" s="47"/>
      <c r="D190" s="2"/>
      <c r="E190" s="2"/>
      <c r="F190" s="2"/>
      <c r="G190" s="2"/>
    </row>
    <row r="191" spans="1:7" s="48" customFormat="1" x14ac:dyDescent="0.25">
      <c r="A191" s="2"/>
      <c r="B191" s="47"/>
      <c r="D191" s="2"/>
      <c r="E191" s="2"/>
      <c r="F191" s="2"/>
      <c r="G191" s="2"/>
    </row>
    <row r="192" spans="1:7" s="48" customFormat="1" x14ac:dyDescent="0.25">
      <c r="A192" s="2"/>
      <c r="B192" s="47"/>
      <c r="D192" s="2"/>
      <c r="E192" s="2"/>
      <c r="F192" s="2"/>
      <c r="G192" s="2"/>
    </row>
    <row r="193" spans="1:7" s="48" customFormat="1" x14ac:dyDescent="0.25">
      <c r="A193" s="2"/>
      <c r="B193" s="47"/>
      <c r="D193" s="2"/>
      <c r="E193" s="2"/>
      <c r="F193" s="2"/>
      <c r="G193" s="2"/>
    </row>
    <row r="194" spans="1:7" s="48" customFormat="1" x14ac:dyDescent="0.25">
      <c r="A194" s="2"/>
      <c r="B194" s="47"/>
      <c r="D194" s="2"/>
      <c r="E194" s="2"/>
      <c r="F194" s="2"/>
      <c r="G194" s="2"/>
    </row>
    <row r="195" spans="1:7" s="48" customFormat="1" x14ac:dyDescent="0.25">
      <c r="A195" s="2"/>
      <c r="B195" s="47"/>
      <c r="D195" s="2"/>
      <c r="E195" s="2"/>
      <c r="F195" s="2"/>
      <c r="G195" s="2"/>
    </row>
    <row r="196" spans="1:7" s="48" customFormat="1" x14ac:dyDescent="0.25">
      <c r="A196" s="2"/>
      <c r="B196" s="47"/>
      <c r="D196" s="2"/>
      <c r="E196" s="2"/>
      <c r="F196" s="2"/>
      <c r="G196" s="2"/>
    </row>
    <row r="197" spans="1:7" s="48" customFormat="1" x14ac:dyDescent="0.25">
      <c r="A197" s="2"/>
      <c r="B197" s="47"/>
      <c r="D197" s="2"/>
      <c r="E197" s="2"/>
      <c r="F197" s="2"/>
      <c r="G197" s="2"/>
    </row>
    <row r="198" spans="1:7" s="48" customFormat="1" x14ac:dyDescent="0.25">
      <c r="A198" s="2"/>
      <c r="B198" s="47"/>
      <c r="D198" s="2"/>
      <c r="E198" s="2"/>
      <c r="F198" s="2"/>
      <c r="G198" s="2"/>
    </row>
    <row r="199" spans="1:7" s="48" customFormat="1" x14ac:dyDescent="0.25">
      <c r="A199" s="2"/>
      <c r="B199" s="47"/>
      <c r="D199" s="2"/>
      <c r="E199" s="2"/>
      <c r="F199" s="2"/>
      <c r="G199" s="2"/>
    </row>
    <row r="200" spans="1:7" s="48" customFormat="1" x14ac:dyDescent="0.25">
      <c r="A200" s="2"/>
      <c r="B200" s="47"/>
      <c r="D200" s="2"/>
      <c r="E200" s="2"/>
      <c r="F200" s="2"/>
      <c r="G200" s="2"/>
    </row>
    <row r="201" spans="1:7" s="48" customFormat="1" x14ac:dyDescent="0.25">
      <c r="A201" s="2"/>
      <c r="B201" s="47"/>
      <c r="D201" s="2"/>
      <c r="E201" s="2"/>
      <c r="F201" s="2"/>
      <c r="G201" s="2"/>
    </row>
    <row r="202" spans="1:7" s="48" customFormat="1" x14ac:dyDescent="0.25">
      <c r="A202" s="2"/>
      <c r="B202" s="47"/>
      <c r="D202" s="2"/>
      <c r="E202" s="2"/>
      <c r="F202" s="2"/>
      <c r="G202" s="2"/>
    </row>
    <row r="203" spans="1:7" s="48" customFormat="1" x14ac:dyDescent="0.25">
      <c r="A203" s="2"/>
      <c r="B203" s="47"/>
      <c r="D203" s="2"/>
      <c r="E203" s="2"/>
      <c r="F203" s="2"/>
      <c r="G203" s="2"/>
    </row>
    <row r="204" spans="1:7" s="48" customFormat="1" x14ac:dyDescent="0.25">
      <c r="A204" s="2"/>
      <c r="B204" s="47"/>
      <c r="D204" s="2"/>
      <c r="E204" s="2"/>
      <c r="F204" s="2"/>
      <c r="G204" s="2"/>
    </row>
    <row r="205" spans="1:7" s="48" customFormat="1" x14ac:dyDescent="0.25">
      <c r="A205" s="2"/>
      <c r="B205" s="47"/>
      <c r="D205" s="2"/>
      <c r="E205" s="2"/>
      <c r="F205" s="2"/>
      <c r="G205" s="2"/>
    </row>
    <row r="206" spans="1:7" s="48" customFormat="1" x14ac:dyDescent="0.25">
      <c r="A206" s="2"/>
      <c r="B206" s="47"/>
      <c r="D206" s="2"/>
      <c r="E206" s="2"/>
      <c r="F206" s="2"/>
      <c r="G206" s="2"/>
    </row>
    <row r="207" spans="1:7" s="48" customFormat="1" x14ac:dyDescent="0.25">
      <c r="A207" s="2"/>
      <c r="B207" s="47"/>
      <c r="D207" s="2"/>
      <c r="E207" s="2"/>
      <c r="F207" s="2"/>
      <c r="G207" s="2"/>
    </row>
    <row r="208" spans="1:7" s="48" customFormat="1" x14ac:dyDescent="0.25">
      <c r="A208" s="2"/>
      <c r="B208" s="47"/>
      <c r="D208" s="2"/>
      <c r="E208" s="2"/>
      <c r="F208" s="2"/>
      <c r="G208" s="2"/>
    </row>
    <row r="209" spans="1:7" s="48" customFormat="1" x14ac:dyDescent="0.25">
      <c r="A209" s="2"/>
      <c r="B209" s="47"/>
      <c r="D209" s="2"/>
      <c r="E209" s="2"/>
      <c r="F209" s="2"/>
      <c r="G209" s="2"/>
    </row>
    <row r="210" spans="1:7" s="48" customFormat="1" x14ac:dyDescent="0.25">
      <c r="A210" s="2"/>
      <c r="B210" s="47"/>
      <c r="D210" s="2"/>
      <c r="E210" s="2"/>
      <c r="F210" s="2"/>
      <c r="G210" s="2"/>
    </row>
    <row r="211" spans="1:7" s="48" customFormat="1" x14ac:dyDescent="0.25">
      <c r="A211" s="2"/>
      <c r="B211" s="47"/>
      <c r="D211" s="2"/>
      <c r="E211" s="2"/>
      <c r="F211" s="2"/>
      <c r="G211" s="2"/>
    </row>
    <row r="212" spans="1:7" s="48" customFormat="1" x14ac:dyDescent="0.25">
      <c r="A212" s="2"/>
      <c r="B212" s="47"/>
      <c r="D212" s="2"/>
      <c r="E212" s="2"/>
      <c r="F212" s="2"/>
      <c r="G212" s="2"/>
    </row>
    <row r="213" spans="1:7" s="48" customFormat="1" x14ac:dyDescent="0.25">
      <c r="A213" s="2"/>
      <c r="B213" s="47"/>
      <c r="D213" s="2"/>
      <c r="E213" s="2"/>
      <c r="F213" s="2"/>
      <c r="G213" s="2"/>
    </row>
    <row r="214" spans="1:7" s="48" customFormat="1" x14ac:dyDescent="0.25">
      <c r="A214" s="2"/>
      <c r="B214" s="47"/>
      <c r="D214" s="2"/>
      <c r="E214" s="2"/>
      <c r="F214" s="2"/>
      <c r="G214" s="2"/>
    </row>
    <row r="215" spans="1:7" s="48" customFormat="1" x14ac:dyDescent="0.25">
      <c r="A215" s="2"/>
      <c r="B215" s="47"/>
      <c r="D215" s="2"/>
      <c r="E215" s="2"/>
      <c r="F215" s="2"/>
      <c r="G215" s="2"/>
    </row>
    <row r="216" spans="1:7" s="48" customFormat="1" x14ac:dyDescent="0.25">
      <c r="A216" s="2"/>
      <c r="B216" s="47"/>
      <c r="D216" s="2"/>
      <c r="E216" s="2"/>
      <c r="F216" s="2"/>
      <c r="G216" s="2"/>
    </row>
    <row r="217" spans="1:7" s="48" customFormat="1" x14ac:dyDescent="0.25">
      <c r="A217" s="2"/>
      <c r="B217" s="47"/>
      <c r="D217" s="2"/>
      <c r="E217" s="2"/>
      <c r="F217" s="2"/>
      <c r="G217" s="2"/>
    </row>
    <row r="218" spans="1:7" s="48" customFormat="1" x14ac:dyDescent="0.25">
      <c r="A218" s="2"/>
      <c r="B218" s="47"/>
      <c r="D218" s="2"/>
      <c r="E218" s="2"/>
      <c r="F218" s="2"/>
      <c r="G218" s="2"/>
    </row>
    <row r="219" spans="1:7" s="48" customFormat="1" x14ac:dyDescent="0.25">
      <c r="A219" s="2"/>
      <c r="B219" s="47"/>
      <c r="D219" s="2"/>
      <c r="E219" s="2"/>
      <c r="F219" s="2"/>
      <c r="G219" s="2"/>
    </row>
    <row r="220" spans="1:7" s="48" customFormat="1" x14ac:dyDescent="0.25">
      <c r="A220" s="2"/>
      <c r="B220" s="47"/>
      <c r="D220" s="2"/>
      <c r="E220" s="2"/>
      <c r="F220" s="2"/>
      <c r="G220" s="2"/>
    </row>
    <row r="221" spans="1:7" s="48" customFormat="1" x14ac:dyDescent="0.25">
      <c r="A221" s="2"/>
      <c r="B221" s="47"/>
      <c r="D221" s="2"/>
      <c r="E221" s="2"/>
      <c r="F221" s="2"/>
      <c r="G221" s="2"/>
    </row>
    <row r="222" spans="1:7" s="48" customFormat="1" x14ac:dyDescent="0.25">
      <c r="A222" s="2"/>
      <c r="B222" s="47"/>
      <c r="D222" s="2"/>
      <c r="E222" s="2"/>
      <c r="F222" s="2"/>
      <c r="G222" s="2"/>
    </row>
    <row r="223" spans="1:7" s="48" customFormat="1" x14ac:dyDescent="0.25">
      <c r="A223" s="2"/>
      <c r="B223" s="47"/>
      <c r="D223" s="2"/>
      <c r="E223" s="2"/>
      <c r="F223" s="2"/>
      <c r="G223" s="2"/>
    </row>
    <row r="224" spans="1:7" s="48" customFormat="1" x14ac:dyDescent="0.25">
      <c r="A224" s="2"/>
      <c r="B224" s="47"/>
      <c r="D224" s="2"/>
      <c r="E224" s="2"/>
      <c r="F224" s="2"/>
      <c r="G224" s="2"/>
    </row>
    <row r="225" spans="1:7" s="48" customFormat="1" x14ac:dyDescent="0.25">
      <c r="A225" s="2"/>
      <c r="B225" s="47"/>
      <c r="D225" s="2"/>
      <c r="E225" s="2"/>
      <c r="F225" s="2"/>
      <c r="G225" s="2"/>
    </row>
    <row r="226" spans="1:7" s="48" customFormat="1" x14ac:dyDescent="0.25">
      <c r="A226" s="2"/>
      <c r="B226" s="47"/>
      <c r="D226" s="2"/>
      <c r="E226" s="2"/>
      <c r="F226" s="2"/>
      <c r="G226" s="2"/>
    </row>
    <row r="227" spans="1:7" s="48" customFormat="1" x14ac:dyDescent="0.25">
      <c r="A227" s="2"/>
      <c r="B227" s="47"/>
      <c r="D227" s="2"/>
      <c r="E227" s="2"/>
      <c r="F227" s="2"/>
      <c r="G227" s="2"/>
    </row>
    <row r="228" spans="1:7" s="48" customFormat="1" x14ac:dyDescent="0.25">
      <c r="A228" s="2"/>
      <c r="B228" s="47"/>
      <c r="D228" s="2"/>
      <c r="E228" s="2"/>
      <c r="F228" s="2"/>
      <c r="G228" s="2"/>
    </row>
    <row r="229" spans="1:7" s="48" customFormat="1" x14ac:dyDescent="0.25">
      <c r="A229" s="2"/>
      <c r="B229" s="47"/>
      <c r="D229" s="2"/>
      <c r="E229" s="2"/>
      <c r="F229" s="2"/>
      <c r="G229" s="2"/>
    </row>
    <row r="230" spans="1:7" s="48" customFormat="1" x14ac:dyDescent="0.25">
      <c r="A230" s="2"/>
      <c r="B230" s="47"/>
      <c r="D230" s="2"/>
      <c r="E230" s="2"/>
      <c r="F230" s="2"/>
      <c r="G230" s="2"/>
    </row>
    <row r="231" spans="1:7" s="48" customFormat="1" x14ac:dyDescent="0.25">
      <c r="A231" s="2"/>
      <c r="B231" s="47"/>
      <c r="D231" s="2"/>
      <c r="E231" s="2"/>
      <c r="F231" s="2"/>
      <c r="G231" s="2"/>
    </row>
    <row r="232" spans="1:7" s="48" customFormat="1" x14ac:dyDescent="0.25">
      <c r="A232" s="2"/>
      <c r="B232" s="47"/>
      <c r="D232" s="2"/>
      <c r="E232" s="2"/>
      <c r="F232" s="2"/>
      <c r="G232" s="2"/>
    </row>
    <row r="233" spans="1:7" s="48" customFormat="1" x14ac:dyDescent="0.25">
      <c r="A233" s="2"/>
      <c r="B233" s="47"/>
      <c r="D233" s="2"/>
      <c r="E233" s="2"/>
      <c r="F233" s="2"/>
      <c r="G233" s="2"/>
    </row>
    <row r="234" spans="1:7" s="48" customFormat="1" x14ac:dyDescent="0.25">
      <c r="A234" s="2"/>
      <c r="B234" s="47"/>
      <c r="D234" s="2"/>
      <c r="E234" s="2"/>
      <c r="F234" s="2"/>
      <c r="G234" s="2"/>
    </row>
    <row r="235" spans="1:7" s="48" customFormat="1" x14ac:dyDescent="0.25">
      <c r="A235" s="2"/>
      <c r="B235" s="47"/>
      <c r="D235" s="2"/>
      <c r="E235" s="2"/>
      <c r="F235" s="2"/>
      <c r="G235" s="2"/>
    </row>
    <row r="236" spans="1:7" s="48" customFormat="1" x14ac:dyDescent="0.25">
      <c r="A236" s="2"/>
      <c r="B236" s="47"/>
      <c r="D236" s="2"/>
      <c r="E236" s="2"/>
      <c r="F236" s="2"/>
      <c r="G236" s="2"/>
    </row>
    <row r="237" spans="1:7" s="48" customFormat="1" x14ac:dyDescent="0.25">
      <c r="A237" s="2"/>
      <c r="B237" s="47"/>
      <c r="D237" s="2"/>
      <c r="E237" s="2"/>
      <c r="F237" s="2"/>
      <c r="G237" s="2"/>
    </row>
    <row r="238" spans="1:7" s="48" customFormat="1" x14ac:dyDescent="0.25">
      <c r="A238" s="2"/>
      <c r="B238" s="47"/>
      <c r="D238" s="2"/>
      <c r="E238" s="2"/>
      <c r="F238" s="2"/>
      <c r="G238" s="2"/>
    </row>
    <row r="239" spans="1:7" s="48" customFormat="1" x14ac:dyDescent="0.25">
      <c r="A239" s="2"/>
      <c r="B239" s="47"/>
      <c r="D239" s="2"/>
      <c r="E239" s="2"/>
      <c r="F239" s="2"/>
      <c r="G239" s="2"/>
    </row>
    <row r="240" spans="1:7" s="48" customFormat="1" x14ac:dyDescent="0.25">
      <c r="A240" s="2"/>
      <c r="B240" s="47"/>
      <c r="D240" s="2"/>
      <c r="E240" s="2"/>
      <c r="F240" s="2"/>
      <c r="G240" s="2"/>
    </row>
    <row r="241" spans="1:7" s="48" customFormat="1" x14ac:dyDescent="0.25">
      <c r="A241" s="2"/>
      <c r="B241" s="47"/>
      <c r="D241" s="2"/>
      <c r="E241" s="2"/>
      <c r="F241" s="2"/>
      <c r="G241" s="2"/>
    </row>
    <row r="242" spans="1:7" s="48" customFormat="1" x14ac:dyDescent="0.25">
      <c r="A242" s="2"/>
      <c r="B242" s="47"/>
      <c r="D242" s="2"/>
      <c r="E242" s="2"/>
      <c r="F242" s="2"/>
      <c r="G242" s="2"/>
    </row>
    <row r="243" spans="1:7" s="48" customFormat="1" x14ac:dyDescent="0.25">
      <c r="A243" s="2"/>
      <c r="B243" s="47"/>
      <c r="D243" s="2"/>
      <c r="E243" s="2"/>
      <c r="F243" s="2"/>
      <c r="G243" s="2"/>
    </row>
    <row r="244" spans="1:7" s="48" customFormat="1" x14ac:dyDescent="0.25">
      <c r="A244" s="2"/>
      <c r="B244" s="47"/>
      <c r="D244" s="2"/>
      <c r="E244" s="2"/>
      <c r="F244" s="2"/>
      <c r="G244" s="2"/>
    </row>
    <row r="245" spans="1:7" s="48" customFormat="1" x14ac:dyDescent="0.25">
      <c r="A245" s="2"/>
      <c r="B245" s="47"/>
      <c r="D245" s="2"/>
      <c r="E245" s="2"/>
      <c r="F245" s="2"/>
      <c r="G245" s="2"/>
    </row>
    <row r="246" spans="1:7" s="48" customFormat="1" x14ac:dyDescent="0.25">
      <c r="A246" s="2"/>
      <c r="B246" s="47"/>
      <c r="D246" s="2"/>
      <c r="E246" s="2"/>
      <c r="F246" s="2"/>
      <c r="G246" s="2"/>
    </row>
    <row r="247" spans="1:7" s="48" customFormat="1" x14ac:dyDescent="0.25">
      <c r="A247" s="2"/>
      <c r="B247" s="47"/>
      <c r="D247" s="2"/>
      <c r="E247" s="2"/>
      <c r="F247" s="2"/>
      <c r="G247" s="2"/>
    </row>
    <row r="248" spans="1:7" s="48" customFormat="1" x14ac:dyDescent="0.25">
      <c r="A248" s="2"/>
      <c r="B248" s="47"/>
      <c r="D248" s="2"/>
      <c r="E248" s="2"/>
      <c r="F248" s="2"/>
      <c r="G248" s="2"/>
    </row>
    <row r="249" spans="1:7" s="48" customFormat="1" x14ac:dyDescent="0.25">
      <c r="A249" s="2"/>
      <c r="B249" s="47"/>
      <c r="D249" s="2"/>
      <c r="E249" s="2"/>
      <c r="F249" s="2"/>
      <c r="G249" s="2"/>
    </row>
    <row r="250" spans="1:7" s="48" customFormat="1" x14ac:dyDescent="0.25">
      <c r="A250" s="2"/>
      <c r="B250" s="47"/>
      <c r="D250" s="2"/>
      <c r="E250" s="2"/>
      <c r="F250" s="2"/>
      <c r="G250" s="2"/>
    </row>
    <row r="251" spans="1:7" s="48" customFormat="1" x14ac:dyDescent="0.25">
      <c r="A251" s="2"/>
      <c r="B251" s="47"/>
      <c r="D251" s="2"/>
      <c r="E251" s="2"/>
      <c r="F251" s="2"/>
      <c r="G251" s="2"/>
    </row>
    <row r="252" spans="1:7" s="48" customFormat="1" x14ac:dyDescent="0.25">
      <c r="A252" s="2"/>
      <c r="B252" s="47"/>
      <c r="D252" s="2"/>
      <c r="E252" s="2"/>
      <c r="F252" s="2"/>
      <c r="G252" s="2"/>
    </row>
    <row r="253" spans="1:7" s="48" customFormat="1" x14ac:dyDescent="0.25">
      <c r="A253" s="2"/>
      <c r="B253" s="47"/>
      <c r="D253" s="2"/>
      <c r="E253" s="2"/>
      <c r="F253" s="2"/>
      <c r="G253" s="2"/>
    </row>
    <row r="254" spans="1:7" s="48" customFormat="1" x14ac:dyDescent="0.25">
      <c r="A254" s="2"/>
      <c r="B254" s="47"/>
      <c r="D254" s="2"/>
      <c r="E254" s="2"/>
      <c r="F254" s="2"/>
      <c r="G254" s="2"/>
    </row>
    <row r="255" spans="1:7" s="48" customFormat="1" x14ac:dyDescent="0.25">
      <c r="A255" s="2"/>
      <c r="B255" s="47"/>
      <c r="D255" s="2"/>
      <c r="E255" s="2"/>
      <c r="F255" s="2"/>
      <c r="G255" s="2"/>
    </row>
    <row r="256" spans="1:7" s="48" customFormat="1" x14ac:dyDescent="0.25">
      <c r="A256" s="2"/>
      <c r="B256" s="47"/>
      <c r="D256" s="2"/>
      <c r="E256" s="2"/>
      <c r="F256" s="2"/>
      <c r="G256" s="2"/>
    </row>
    <row r="257" spans="1:7" s="48" customFormat="1" x14ac:dyDescent="0.25">
      <c r="A257" s="2"/>
      <c r="B257" s="47"/>
      <c r="D257" s="2"/>
      <c r="E257" s="2"/>
      <c r="F257" s="2"/>
      <c r="G257" s="2"/>
    </row>
    <row r="258" spans="1:7" s="48" customFormat="1" x14ac:dyDescent="0.25">
      <c r="A258" s="2"/>
      <c r="B258" s="47"/>
      <c r="D258" s="2"/>
      <c r="E258" s="2"/>
      <c r="F258" s="2"/>
      <c r="G258" s="2"/>
    </row>
    <row r="259" spans="1:7" s="48" customFormat="1" x14ac:dyDescent="0.25">
      <c r="A259" s="2"/>
      <c r="B259" s="47"/>
      <c r="D259" s="2"/>
      <c r="E259" s="2"/>
      <c r="F259" s="2"/>
      <c r="G259" s="2"/>
    </row>
    <row r="260" spans="1:7" s="48" customFormat="1" x14ac:dyDescent="0.25">
      <c r="A260" s="2"/>
      <c r="B260" s="47"/>
      <c r="D260" s="2"/>
      <c r="E260" s="2"/>
      <c r="F260" s="2"/>
      <c r="G260" s="2"/>
    </row>
    <row r="261" spans="1:7" s="48" customFormat="1" x14ac:dyDescent="0.25">
      <c r="A261" s="2"/>
      <c r="B261" s="47"/>
      <c r="D261" s="2"/>
      <c r="E261" s="2"/>
      <c r="F261" s="2"/>
      <c r="G261" s="2"/>
    </row>
    <row r="262" spans="1:7" s="48" customFormat="1" x14ac:dyDescent="0.25">
      <c r="A262" s="2"/>
      <c r="B262" s="47"/>
      <c r="D262" s="2"/>
      <c r="E262" s="2"/>
      <c r="F262" s="2"/>
      <c r="G262" s="2"/>
    </row>
    <row r="263" spans="1:7" s="48" customFormat="1" x14ac:dyDescent="0.25">
      <c r="A263" s="2"/>
      <c r="B263" s="47"/>
      <c r="D263" s="2"/>
      <c r="E263" s="2"/>
      <c r="F263" s="2"/>
      <c r="G263" s="2"/>
    </row>
    <row r="264" spans="1:7" s="48" customFormat="1" x14ac:dyDescent="0.25">
      <c r="A264" s="2"/>
      <c r="B264" s="47"/>
      <c r="D264" s="2"/>
      <c r="E264" s="2"/>
      <c r="F264" s="2"/>
      <c r="G264" s="2"/>
    </row>
    <row r="265" spans="1:7" s="48" customFormat="1" x14ac:dyDescent="0.25">
      <c r="A265" s="2"/>
      <c r="B265" s="47"/>
      <c r="D265" s="2"/>
      <c r="E265" s="2"/>
      <c r="F265" s="2"/>
      <c r="G265" s="2"/>
    </row>
    <row r="266" spans="1:7" s="48" customFormat="1" x14ac:dyDescent="0.25">
      <c r="A266" s="2"/>
      <c r="B266" s="47"/>
      <c r="D266" s="2"/>
      <c r="E266" s="2"/>
      <c r="F266" s="2"/>
      <c r="G266" s="2"/>
    </row>
    <row r="267" spans="1:7" s="48" customFormat="1" x14ac:dyDescent="0.25">
      <c r="A267" s="2"/>
      <c r="B267" s="47"/>
      <c r="D267" s="2"/>
      <c r="E267" s="2"/>
      <c r="F267" s="2"/>
      <c r="G267" s="2"/>
    </row>
    <row r="268" spans="1:7" s="48" customFormat="1" x14ac:dyDescent="0.25">
      <c r="A268" s="2"/>
      <c r="B268" s="47"/>
      <c r="D268" s="2"/>
      <c r="E268" s="2"/>
      <c r="F268" s="2"/>
      <c r="G268" s="2"/>
    </row>
    <row r="269" spans="1:7" s="48" customFormat="1" x14ac:dyDescent="0.25">
      <c r="A269" s="2"/>
      <c r="B269" s="47"/>
      <c r="D269" s="2"/>
      <c r="E269" s="2"/>
      <c r="F269" s="2"/>
      <c r="G269" s="2"/>
    </row>
    <row r="270" spans="1:7" s="48" customFormat="1" x14ac:dyDescent="0.25">
      <c r="A270" s="2"/>
      <c r="B270" s="47"/>
      <c r="D270" s="2"/>
      <c r="E270" s="2"/>
      <c r="F270" s="2"/>
      <c r="G270" s="2"/>
    </row>
    <row r="271" spans="1:7" s="48" customFormat="1" x14ac:dyDescent="0.25">
      <c r="A271" s="2"/>
      <c r="B271" s="47"/>
      <c r="D271" s="2"/>
      <c r="E271" s="2"/>
      <c r="F271" s="2"/>
      <c r="G271" s="2"/>
    </row>
    <row r="272" spans="1:7" s="48" customFormat="1" x14ac:dyDescent="0.25">
      <c r="A272" s="2"/>
      <c r="B272" s="47"/>
      <c r="D272" s="2"/>
      <c r="E272" s="2"/>
      <c r="F272" s="2"/>
      <c r="G272" s="2"/>
    </row>
    <row r="273" spans="1:7" s="48" customFormat="1" x14ac:dyDescent="0.25">
      <c r="A273" s="2"/>
      <c r="B273" s="47"/>
      <c r="D273" s="2"/>
      <c r="E273" s="2"/>
      <c r="F273" s="2"/>
      <c r="G273" s="2"/>
    </row>
    <row r="274" spans="1:7" s="48" customFormat="1" x14ac:dyDescent="0.25">
      <c r="A274" s="2"/>
      <c r="B274" s="47"/>
      <c r="D274" s="2"/>
      <c r="E274" s="2"/>
      <c r="F274" s="2"/>
      <c r="G274" s="2"/>
    </row>
    <row r="275" spans="1:7" s="48" customFormat="1" x14ac:dyDescent="0.25">
      <c r="A275" s="2"/>
      <c r="B275" s="47"/>
      <c r="D275" s="2"/>
      <c r="E275" s="2"/>
      <c r="F275" s="2"/>
      <c r="G275" s="2"/>
    </row>
    <row r="276" spans="1:7" s="48" customFormat="1" x14ac:dyDescent="0.25">
      <c r="A276" s="2"/>
      <c r="B276" s="47"/>
      <c r="D276" s="2"/>
      <c r="E276" s="2"/>
      <c r="F276" s="2"/>
      <c r="G276" s="2"/>
    </row>
    <row r="277" spans="1:7" s="48" customFormat="1" x14ac:dyDescent="0.25">
      <c r="A277" s="2"/>
      <c r="B277" s="47"/>
      <c r="D277" s="2"/>
      <c r="E277" s="2"/>
      <c r="F277" s="2"/>
      <c r="G277" s="2"/>
    </row>
    <row r="278" spans="1:7" s="48" customFormat="1" x14ac:dyDescent="0.25">
      <c r="A278" s="2"/>
      <c r="B278" s="47"/>
      <c r="D278" s="2"/>
      <c r="E278" s="2"/>
      <c r="F278" s="2"/>
      <c r="G278" s="2"/>
    </row>
    <row r="279" spans="1:7" s="48" customFormat="1" x14ac:dyDescent="0.25">
      <c r="A279" s="2"/>
      <c r="B279" s="47"/>
      <c r="D279" s="2"/>
      <c r="E279" s="2"/>
      <c r="F279" s="2"/>
      <c r="G279" s="2"/>
    </row>
    <row r="280" spans="1:7" s="48" customFormat="1" x14ac:dyDescent="0.25">
      <c r="A280" s="2"/>
      <c r="B280" s="47"/>
      <c r="D280" s="2"/>
      <c r="E280" s="2"/>
      <c r="F280" s="2"/>
      <c r="G280" s="2"/>
    </row>
  </sheetData>
  <mergeCells count="13">
    <mergeCell ref="A3:D3"/>
    <mergeCell ref="A2:D2"/>
    <mergeCell ref="A1:D1"/>
    <mergeCell ref="A8:D8"/>
    <mergeCell ref="A7:D7"/>
    <mergeCell ref="A6:D6"/>
    <mergeCell ref="A5:D5"/>
    <mergeCell ref="A4:D4"/>
    <mergeCell ref="A10:D10"/>
    <mergeCell ref="A11:D11"/>
    <mergeCell ref="A13:A14"/>
    <mergeCell ref="B13:B14"/>
    <mergeCell ref="C13:D13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74"/>
  <sheetViews>
    <sheetView tabSelected="1" view="pageBreakPreview" zoomScale="60" zoomScaleNormal="100" workbookViewId="0"/>
  </sheetViews>
  <sheetFormatPr defaultRowHeight="12.75" x14ac:dyDescent="0.2"/>
  <cols>
    <col min="1" max="1" width="8.42578125" style="25" customWidth="1"/>
    <col min="2" max="2" width="22.5703125" style="404" customWidth="1"/>
    <col min="3" max="3" width="77.42578125" style="408" customWidth="1"/>
    <col min="4" max="256" width="9.140625" style="25"/>
    <col min="257" max="257" width="8.42578125" style="25" customWidth="1"/>
    <col min="258" max="258" width="20.7109375" style="25" customWidth="1"/>
    <col min="259" max="259" width="75.140625" style="25" customWidth="1"/>
    <col min="260" max="512" width="9.140625" style="25"/>
    <col min="513" max="513" width="8.42578125" style="25" customWidth="1"/>
    <col min="514" max="514" width="20.7109375" style="25" customWidth="1"/>
    <col min="515" max="515" width="75.140625" style="25" customWidth="1"/>
    <col min="516" max="768" width="9.140625" style="25"/>
    <col min="769" max="769" width="8.42578125" style="25" customWidth="1"/>
    <col min="770" max="770" width="20.7109375" style="25" customWidth="1"/>
    <col min="771" max="771" width="75.140625" style="25" customWidth="1"/>
    <col min="772" max="1024" width="9.140625" style="25"/>
    <col min="1025" max="1025" width="8.42578125" style="25" customWidth="1"/>
    <col min="1026" max="1026" width="20.7109375" style="25" customWidth="1"/>
    <col min="1027" max="1027" width="75.140625" style="25" customWidth="1"/>
    <col min="1028" max="1280" width="9.140625" style="25"/>
    <col min="1281" max="1281" width="8.42578125" style="25" customWidth="1"/>
    <col min="1282" max="1282" width="20.7109375" style="25" customWidth="1"/>
    <col min="1283" max="1283" width="75.140625" style="25" customWidth="1"/>
    <col min="1284" max="1536" width="9.140625" style="25"/>
    <col min="1537" max="1537" width="8.42578125" style="25" customWidth="1"/>
    <col min="1538" max="1538" width="20.7109375" style="25" customWidth="1"/>
    <col min="1539" max="1539" width="75.140625" style="25" customWidth="1"/>
    <col min="1540" max="1792" width="9.140625" style="25"/>
    <col min="1793" max="1793" width="8.42578125" style="25" customWidth="1"/>
    <col min="1794" max="1794" width="20.7109375" style="25" customWidth="1"/>
    <col min="1795" max="1795" width="75.140625" style="25" customWidth="1"/>
    <col min="1796" max="2048" width="9.140625" style="25"/>
    <col min="2049" max="2049" width="8.42578125" style="25" customWidth="1"/>
    <col min="2050" max="2050" width="20.7109375" style="25" customWidth="1"/>
    <col min="2051" max="2051" width="75.140625" style="25" customWidth="1"/>
    <col min="2052" max="2304" width="9.140625" style="25"/>
    <col min="2305" max="2305" width="8.42578125" style="25" customWidth="1"/>
    <col min="2306" max="2306" width="20.7109375" style="25" customWidth="1"/>
    <col min="2307" max="2307" width="75.140625" style="25" customWidth="1"/>
    <col min="2308" max="2560" width="9.140625" style="25"/>
    <col min="2561" max="2561" width="8.42578125" style="25" customWidth="1"/>
    <col min="2562" max="2562" width="20.7109375" style="25" customWidth="1"/>
    <col min="2563" max="2563" width="75.140625" style="25" customWidth="1"/>
    <col min="2564" max="2816" width="9.140625" style="25"/>
    <col min="2817" max="2817" width="8.42578125" style="25" customWidth="1"/>
    <col min="2818" max="2818" width="20.7109375" style="25" customWidth="1"/>
    <col min="2819" max="2819" width="75.140625" style="25" customWidth="1"/>
    <col min="2820" max="3072" width="9.140625" style="25"/>
    <col min="3073" max="3073" width="8.42578125" style="25" customWidth="1"/>
    <col min="3074" max="3074" width="20.7109375" style="25" customWidth="1"/>
    <col min="3075" max="3075" width="75.140625" style="25" customWidth="1"/>
    <col min="3076" max="3328" width="9.140625" style="25"/>
    <col min="3329" max="3329" width="8.42578125" style="25" customWidth="1"/>
    <col min="3330" max="3330" width="20.7109375" style="25" customWidth="1"/>
    <col min="3331" max="3331" width="75.140625" style="25" customWidth="1"/>
    <col min="3332" max="3584" width="9.140625" style="25"/>
    <col min="3585" max="3585" width="8.42578125" style="25" customWidth="1"/>
    <col min="3586" max="3586" width="20.7109375" style="25" customWidth="1"/>
    <col min="3587" max="3587" width="75.140625" style="25" customWidth="1"/>
    <col min="3588" max="3840" width="9.140625" style="25"/>
    <col min="3841" max="3841" width="8.42578125" style="25" customWidth="1"/>
    <col min="3842" max="3842" width="20.7109375" style="25" customWidth="1"/>
    <col min="3843" max="3843" width="75.140625" style="25" customWidth="1"/>
    <col min="3844" max="4096" width="9.140625" style="25"/>
    <col min="4097" max="4097" width="8.42578125" style="25" customWidth="1"/>
    <col min="4098" max="4098" width="20.7109375" style="25" customWidth="1"/>
    <col min="4099" max="4099" width="75.140625" style="25" customWidth="1"/>
    <col min="4100" max="4352" width="9.140625" style="25"/>
    <col min="4353" max="4353" width="8.42578125" style="25" customWidth="1"/>
    <col min="4354" max="4354" width="20.7109375" style="25" customWidth="1"/>
    <col min="4355" max="4355" width="75.140625" style="25" customWidth="1"/>
    <col min="4356" max="4608" width="9.140625" style="25"/>
    <col min="4609" max="4609" width="8.42578125" style="25" customWidth="1"/>
    <col min="4610" max="4610" width="20.7109375" style="25" customWidth="1"/>
    <col min="4611" max="4611" width="75.140625" style="25" customWidth="1"/>
    <col min="4612" max="4864" width="9.140625" style="25"/>
    <col min="4865" max="4865" width="8.42578125" style="25" customWidth="1"/>
    <col min="4866" max="4866" width="20.7109375" style="25" customWidth="1"/>
    <col min="4867" max="4867" width="75.140625" style="25" customWidth="1"/>
    <col min="4868" max="5120" width="9.140625" style="25"/>
    <col min="5121" max="5121" width="8.42578125" style="25" customWidth="1"/>
    <col min="5122" max="5122" width="20.7109375" style="25" customWidth="1"/>
    <col min="5123" max="5123" width="75.140625" style="25" customWidth="1"/>
    <col min="5124" max="5376" width="9.140625" style="25"/>
    <col min="5377" max="5377" width="8.42578125" style="25" customWidth="1"/>
    <col min="5378" max="5378" width="20.7109375" style="25" customWidth="1"/>
    <col min="5379" max="5379" width="75.140625" style="25" customWidth="1"/>
    <col min="5380" max="5632" width="9.140625" style="25"/>
    <col min="5633" max="5633" width="8.42578125" style="25" customWidth="1"/>
    <col min="5634" max="5634" width="20.7109375" style="25" customWidth="1"/>
    <col min="5635" max="5635" width="75.140625" style="25" customWidth="1"/>
    <col min="5636" max="5888" width="9.140625" style="25"/>
    <col min="5889" max="5889" width="8.42578125" style="25" customWidth="1"/>
    <col min="5890" max="5890" width="20.7109375" style="25" customWidth="1"/>
    <col min="5891" max="5891" width="75.140625" style="25" customWidth="1"/>
    <col min="5892" max="6144" width="9.140625" style="25"/>
    <col min="6145" max="6145" width="8.42578125" style="25" customWidth="1"/>
    <col min="6146" max="6146" width="20.7109375" style="25" customWidth="1"/>
    <col min="6147" max="6147" width="75.140625" style="25" customWidth="1"/>
    <col min="6148" max="6400" width="9.140625" style="25"/>
    <col min="6401" max="6401" width="8.42578125" style="25" customWidth="1"/>
    <col min="6402" max="6402" width="20.7109375" style="25" customWidth="1"/>
    <col min="6403" max="6403" width="75.140625" style="25" customWidth="1"/>
    <col min="6404" max="6656" width="9.140625" style="25"/>
    <col min="6657" max="6657" width="8.42578125" style="25" customWidth="1"/>
    <col min="6658" max="6658" width="20.7109375" style="25" customWidth="1"/>
    <col min="6659" max="6659" width="75.140625" style="25" customWidth="1"/>
    <col min="6660" max="6912" width="9.140625" style="25"/>
    <col min="6913" max="6913" width="8.42578125" style="25" customWidth="1"/>
    <col min="6914" max="6914" width="20.7109375" style="25" customWidth="1"/>
    <col min="6915" max="6915" width="75.140625" style="25" customWidth="1"/>
    <col min="6916" max="7168" width="9.140625" style="25"/>
    <col min="7169" max="7169" width="8.42578125" style="25" customWidth="1"/>
    <col min="7170" max="7170" width="20.7109375" style="25" customWidth="1"/>
    <col min="7171" max="7171" width="75.140625" style="25" customWidth="1"/>
    <col min="7172" max="7424" width="9.140625" style="25"/>
    <col min="7425" max="7425" width="8.42578125" style="25" customWidth="1"/>
    <col min="7426" max="7426" width="20.7109375" style="25" customWidth="1"/>
    <col min="7427" max="7427" width="75.140625" style="25" customWidth="1"/>
    <col min="7428" max="7680" width="9.140625" style="25"/>
    <col min="7681" max="7681" width="8.42578125" style="25" customWidth="1"/>
    <col min="7682" max="7682" width="20.7109375" style="25" customWidth="1"/>
    <col min="7683" max="7683" width="75.140625" style="25" customWidth="1"/>
    <col min="7684" max="7936" width="9.140625" style="25"/>
    <col min="7937" max="7937" width="8.42578125" style="25" customWidth="1"/>
    <col min="7938" max="7938" width="20.7109375" style="25" customWidth="1"/>
    <col min="7939" max="7939" width="75.140625" style="25" customWidth="1"/>
    <col min="7940" max="8192" width="9.140625" style="25"/>
    <col min="8193" max="8193" width="8.42578125" style="25" customWidth="1"/>
    <col min="8194" max="8194" width="20.7109375" style="25" customWidth="1"/>
    <col min="8195" max="8195" width="75.140625" style="25" customWidth="1"/>
    <col min="8196" max="8448" width="9.140625" style="25"/>
    <col min="8449" max="8449" width="8.42578125" style="25" customWidth="1"/>
    <col min="8450" max="8450" width="20.7109375" style="25" customWidth="1"/>
    <col min="8451" max="8451" width="75.140625" style="25" customWidth="1"/>
    <col min="8452" max="8704" width="9.140625" style="25"/>
    <col min="8705" max="8705" width="8.42578125" style="25" customWidth="1"/>
    <col min="8706" max="8706" width="20.7109375" style="25" customWidth="1"/>
    <col min="8707" max="8707" width="75.140625" style="25" customWidth="1"/>
    <col min="8708" max="8960" width="9.140625" style="25"/>
    <col min="8961" max="8961" width="8.42578125" style="25" customWidth="1"/>
    <col min="8962" max="8962" width="20.7109375" style="25" customWidth="1"/>
    <col min="8963" max="8963" width="75.140625" style="25" customWidth="1"/>
    <col min="8964" max="9216" width="9.140625" style="25"/>
    <col min="9217" max="9217" width="8.42578125" style="25" customWidth="1"/>
    <col min="9218" max="9218" width="20.7109375" style="25" customWidth="1"/>
    <col min="9219" max="9219" width="75.140625" style="25" customWidth="1"/>
    <col min="9220" max="9472" width="9.140625" style="25"/>
    <col min="9473" max="9473" width="8.42578125" style="25" customWidth="1"/>
    <col min="9474" max="9474" width="20.7109375" style="25" customWidth="1"/>
    <col min="9475" max="9475" width="75.140625" style="25" customWidth="1"/>
    <col min="9476" max="9728" width="9.140625" style="25"/>
    <col min="9729" max="9729" width="8.42578125" style="25" customWidth="1"/>
    <col min="9730" max="9730" width="20.7109375" style="25" customWidth="1"/>
    <col min="9731" max="9731" width="75.140625" style="25" customWidth="1"/>
    <col min="9732" max="9984" width="9.140625" style="25"/>
    <col min="9985" max="9985" width="8.42578125" style="25" customWidth="1"/>
    <col min="9986" max="9986" width="20.7109375" style="25" customWidth="1"/>
    <col min="9987" max="9987" width="75.140625" style="25" customWidth="1"/>
    <col min="9988" max="10240" width="9.140625" style="25"/>
    <col min="10241" max="10241" width="8.42578125" style="25" customWidth="1"/>
    <col min="10242" max="10242" width="20.7109375" style="25" customWidth="1"/>
    <col min="10243" max="10243" width="75.140625" style="25" customWidth="1"/>
    <col min="10244" max="10496" width="9.140625" style="25"/>
    <col min="10497" max="10497" width="8.42578125" style="25" customWidth="1"/>
    <col min="10498" max="10498" width="20.7109375" style="25" customWidth="1"/>
    <col min="10499" max="10499" width="75.140625" style="25" customWidth="1"/>
    <col min="10500" max="10752" width="9.140625" style="25"/>
    <col min="10753" max="10753" width="8.42578125" style="25" customWidth="1"/>
    <col min="10754" max="10754" width="20.7109375" style="25" customWidth="1"/>
    <col min="10755" max="10755" width="75.140625" style="25" customWidth="1"/>
    <col min="10756" max="11008" width="9.140625" style="25"/>
    <col min="11009" max="11009" width="8.42578125" style="25" customWidth="1"/>
    <col min="11010" max="11010" width="20.7109375" style="25" customWidth="1"/>
    <col min="11011" max="11011" width="75.140625" style="25" customWidth="1"/>
    <col min="11012" max="11264" width="9.140625" style="25"/>
    <col min="11265" max="11265" width="8.42578125" style="25" customWidth="1"/>
    <col min="11266" max="11266" width="20.7109375" style="25" customWidth="1"/>
    <col min="11267" max="11267" width="75.140625" style="25" customWidth="1"/>
    <col min="11268" max="11520" width="9.140625" style="25"/>
    <col min="11521" max="11521" width="8.42578125" style="25" customWidth="1"/>
    <col min="11522" max="11522" width="20.7109375" style="25" customWidth="1"/>
    <col min="11523" max="11523" width="75.140625" style="25" customWidth="1"/>
    <col min="11524" max="11776" width="9.140625" style="25"/>
    <col min="11777" max="11777" width="8.42578125" style="25" customWidth="1"/>
    <col min="11778" max="11778" width="20.7109375" style="25" customWidth="1"/>
    <col min="11779" max="11779" width="75.140625" style="25" customWidth="1"/>
    <col min="11780" max="12032" width="9.140625" style="25"/>
    <col min="12033" max="12033" width="8.42578125" style="25" customWidth="1"/>
    <col min="12034" max="12034" width="20.7109375" style="25" customWidth="1"/>
    <col min="12035" max="12035" width="75.140625" style="25" customWidth="1"/>
    <col min="12036" max="12288" width="9.140625" style="25"/>
    <col min="12289" max="12289" width="8.42578125" style="25" customWidth="1"/>
    <col min="12290" max="12290" width="20.7109375" style="25" customWidth="1"/>
    <col min="12291" max="12291" width="75.140625" style="25" customWidth="1"/>
    <col min="12292" max="12544" width="9.140625" style="25"/>
    <col min="12545" max="12545" width="8.42578125" style="25" customWidth="1"/>
    <col min="12546" max="12546" width="20.7109375" style="25" customWidth="1"/>
    <col min="12547" max="12547" width="75.140625" style="25" customWidth="1"/>
    <col min="12548" max="12800" width="9.140625" style="25"/>
    <col min="12801" max="12801" width="8.42578125" style="25" customWidth="1"/>
    <col min="12802" max="12802" width="20.7109375" style="25" customWidth="1"/>
    <col min="12803" max="12803" width="75.140625" style="25" customWidth="1"/>
    <col min="12804" max="13056" width="9.140625" style="25"/>
    <col min="13057" max="13057" width="8.42578125" style="25" customWidth="1"/>
    <col min="13058" max="13058" width="20.7109375" style="25" customWidth="1"/>
    <col min="13059" max="13059" width="75.140625" style="25" customWidth="1"/>
    <col min="13060" max="13312" width="9.140625" style="25"/>
    <col min="13313" max="13313" width="8.42578125" style="25" customWidth="1"/>
    <col min="13314" max="13314" width="20.7109375" style="25" customWidth="1"/>
    <col min="13315" max="13315" width="75.140625" style="25" customWidth="1"/>
    <col min="13316" max="13568" width="9.140625" style="25"/>
    <col min="13569" max="13569" width="8.42578125" style="25" customWidth="1"/>
    <col min="13570" max="13570" width="20.7109375" style="25" customWidth="1"/>
    <col min="13571" max="13571" width="75.140625" style="25" customWidth="1"/>
    <col min="13572" max="13824" width="9.140625" style="25"/>
    <col min="13825" max="13825" width="8.42578125" style="25" customWidth="1"/>
    <col min="13826" max="13826" width="20.7109375" style="25" customWidth="1"/>
    <col min="13827" max="13827" width="75.140625" style="25" customWidth="1"/>
    <col min="13828" max="14080" width="9.140625" style="25"/>
    <col min="14081" max="14081" width="8.42578125" style="25" customWidth="1"/>
    <col min="14082" max="14082" width="20.7109375" style="25" customWidth="1"/>
    <col min="14083" max="14083" width="75.140625" style="25" customWidth="1"/>
    <col min="14084" max="14336" width="9.140625" style="25"/>
    <col min="14337" max="14337" width="8.42578125" style="25" customWidth="1"/>
    <col min="14338" max="14338" width="20.7109375" style="25" customWidth="1"/>
    <col min="14339" max="14339" width="75.140625" style="25" customWidth="1"/>
    <col min="14340" max="14592" width="9.140625" style="25"/>
    <col min="14593" max="14593" width="8.42578125" style="25" customWidth="1"/>
    <col min="14594" max="14594" width="20.7109375" style="25" customWidth="1"/>
    <col min="14595" max="14595" width="75.140625" style="25" customWidth="1"/>
    <col min="14596" max="14848" width="9.140625" style="25"/>
    <col min="14849" max="14849" width="8.42578125" style="25" customWidth="1"/>
    <col min="14850" max="14850" width="20.7109375" style="25" customWidth="1"/>
    <col min="14851" max="14851" width="75.140625" style="25" customWidth="1"/>
    <col min="14852" max="15104" width="9.140625" style="25"/>
    <col min="15105" max="15105" width="8.42578125" style="25" customWidth="1"/>
    <col min="15106" max="15106" width="20.7109375" style="25" customWidth="1"/>
    <col min="15107" max="15107" width="75.140625" style="25" customWidth="1"/>
    <col min="15108" max="15360" width="9.140625" style="25"/>
    <col min="15361" max="15361" width="8.42578125" style="25" customWidth="1"/>
    <col min="15362" max="15362" width="20.7109375" style="25" customWidth="1"/>
    <col min="15363" max="15363" width="75.140625" style="25" customWidth="1"/>
    <col min="15364" max="15616" width="9.140625" style="25"/>
    <col min="15617" max="15617" width="8.42578125" style="25" customWidth="1"/>
    <col min="15618" max="15618" width="20.7109375" style="25" customWidth="1"/>
    <col min="15619" max="15619" width="75.140625" style="25" customWidth="1"/>
    <col min="15620" max="15872" width="9.140625" style="25"/>
    <col min="15873" max="15873" width="8.42578125" style="25" customWidth="1"/>
    <col min="15874" max="15874" width="20.7109375" style="25" customWidth="1"/>
    <col min="15875" max="15875" width="75.140625" style="25" customWidth="1"/>
    <col min="15876" max="16128" width="9.140625" style="25"/>
    <col min="16129" max="16129" width="8.42578125" style="25" customWidth="1"/>
    <col min="16130" max="16130" width="20.7109375" style="25" customWidth="1"/>
    <col min="16131" max="16131" width="75.140625" style="25" customWidth="1"/>
    <col min="16132" max="16384" width="9.140625" style="25"/>
  </cols>
  <sheetData>
    <row r="1" spans="1:4" ht="15" customHeight="1" x14ac:dyDescent="0.2">
      <c r="A1" s="403"/>
      <c r="C1" s="405" t="s">
        <v>772</v>
      </c>
    </row>
    <row r="2" spans="1:4" s="2" customFormat="1" ht="15" x14ac:dyDescent="0.25">
      <c r="A2" s="1"/>
      <c r="B2" s="432"/>
      <c r="C2" s="406" t="s">
        <v>614</v>
      </c>
      <c r="D2" s="432"/>
    </row>
    <row r="3" spans="1:4" s="2" customFormat="1" ht="15" x14ac:dyDescent="0.25">
      <c r="B3" s="432"/>
      <c r="C3" s="407" t="s">
        <v>707</v>
      </c>
      <c r="D3" s="432"/>
    </row>
    <row r="4" spans="1:4" s="2" customFormat="1" ht="15" x14ac:dyDescent="0.25">
      <c r="B4" s="432"/>
      <c r="C4" s="407" t="s">
        <v>577</v>
      </c>
      <c r="D4" s="432"/>
    </row>
    <row r="5" spans="1:4" s="2" customFormat="1" ht="15" x14ac:dyDescent="0.25">
      <c r="B5" s="432"/>
      <c r="C5" s="407" t="s">
        <v>798</v>
      </c>
      <c r="D5" s="432"/>
    </row>
    <row r="6" spans="1:4" s="2" customFormat="1" ht="15" x14ac:dyDescent="0.25">
      <c r="B6" s="432"/>
      <c r="C6" s="407" t="s">
        <v>578</v>
      </c>
      <c r="D6" s="432"/>
    </row>
    <row r="7" spans="1:4" s="2" customFormat="1" ht="15" x14ac:dyDescent="0.25">
      <c r="B7" s="432"/>
      <c r="C7" s="407" t="s">
        <v>577</v>
      </c>
      <c r="D7" s="432"/>
    </row>
    <row r="8" spans="1:4" s="2" customFormat="1" ht="15" x14ac:dyDescent="0.25">
      <c r="B8" s="432"/>
      <c r="C8" s="407" t="s">
        <v>594</v>
      </c>
      <c r="D8" s="432"/>
    </row>
    <row r="10" spans="1:4" ht="28.5" customHeight="1" x14ac:dyDescent="0.25">
      <c r="A10" s="443" t="s">
        <v>708</v>
      </c>
      <c r="B10" s="443"/>
      <c r="C10" s="443"/>
    </row>
    <row r="12" spans="1:4" s="409" customFormat="1" ht="12.75" customHeight="1" x14ac:dyDescent="0.2">
      <c r="A12" s="444" t="s">
        <v>709</v>
      </c>
      <c r="B12" s="444"/>
      <c r="C12" s="445" t="s">
        <v>710</v>
      </c>
    </row>
    <row r="13" spans="1:4" s="409" customFormat="1" ht="42.75" customHeight="1" x14ac:dyDescent="0.2">
      <c r="A13" s="410" t="s">
        <v>711</v>
      </c>
      <c r="B13" s="410" t="s">
        <v>712</v>
      </c>
      <c r="C13" s="445"/>
    </row>
    <row r="14" spans="1:4" ht="21" x14ac:dyDescent="0.2">
      <c r="A14" s="411" t="s">
        <v>321</v>
      </c>
      <c r="B14" s="412"/>
      <c r="C14" s="413" t="s">
        <v>713</v>
      </c>
    </row>
    <row r="15" spans="1:4" ht="22.5" x14ac:dyDescent="0.2">
      <c r="A15" s="411" t="s">
        <v>321</v>
      </c>
      <c r="B15" s="392" t="s">
        <v>45</v>
      </c>
      <c r="C15" s="414" t="s">
        <v>692</v>
      </c>
    </row>
    <row r="16" spans="1:4" x14ac:dyDescent="0.2">
      <c r="A16" s="411" t="s">
        <v>321</v>
      </c>
      <c r="B16" s="392" t="s">
        <v>47</v>
      </c>
      <c r="C16" s="414" t="s">
        <v>48</v>
      </c>
    </row>
    <row r="17" spans="1:3" ht="22.5" x14ac:dyDescent="0.2">
      <c r="A17" s="411" t="s">
        <v>321</v>
      </c>
      <c r="B17" s="392" t="s">
        <v>714</v>
      </c>
      <c r="C17" s="414" t="s">
        <v>696</v>
      </c>
    </row>
    <row r="18" spans="1:3" x14ac:dyDescent="0.2">
      <c r="A18" s="411" t="s">
        <v>321</v>
      </c>
      <c r="B18" s="392" t="s">
        <v>715</v>
      </c>
      <c r="C18" s="414" t="s">
        <v>716</v>
      </c>
    </row>
    <row r="19" spans="1:3" x14ac:dyDescent="0.2">
      <c r="A19" s="411" t="s">
        <v>321</v>
      </c>
      <c r="B19" s="392" t="s">
        <v>717</v>
      </c>
      <c r="C19" s="414" t="s">
        <v>718</v>
      </c>
    </row>
    <row r="20" spans="1:3" x14ac:dyDescent="0.2">
      <c r="A20" s="411" t="s">
        <v>321</v>
      </c>
      <c r="B20" s="392" t="s">
        <v>719</v>
      </c>
      <c r="C20" s="414" t="s">
        <v>720</v>
      </c>
    </row>
    <row r="21" spans="1:3" ht="22.5" x14ac:dyDescent="0.2">
      <c r="A21" s="411" t="s">
        <v>321</v>
      </c>
      <c r="B21" s="392" t="s">
        <v>721</v>
      </c>
      <c r="C21" s="414" t="s">
        <v>722</v>
      </c>
    </row>
    <row r="22" spans="1:3" ht="22.5" x14ac:dyDescent="0.2">
      <c r="A22" s="411" t="s">
        <v>321</v>
      </c>
      <c r="B22" s="392" t="s">
        <v>723</v>
      </c>
      <c r="C22" s="414" t="s">
        <v>724</v>
      </c>
    </row>
    <row r="23" spans="1:3" x14ac:dyDescent="0.2">
      <c r="A23" s="411" t="s">
        <v>321</v>
      </c>
      <c r="B23" s="392" t="s">
        <v>725</v>
      </c>
      <c r="C23" s="414" t="s">
        <v>726</v>
      </c>
    </row>
    <row r="24" spans="1:3" ht="22.5" x14ac:dyDescent="0.2">
      <c r="A24" s="411" t="s">
        <v>321</v>
      </c>
      <c r="B24" s="392" t="s">
        <v>727</v>
      </c>
      <c r="C24" s="414" t="s">
        <v>728</v>
      </c>
    </row>
    <row r="25" spans="1:3" ht="22.5" x14ac:dyDescent="0.2">
      <c r="A25" s="411" t="s">
        <v>321</v>
      </c>
      <c r="B25" s="392" t="s">
        <v>729</v>
      </c>
      <c r="C25" s="414" t="s">
        <v>730</v>
      </c>
    </row>
    <row r="26" spans="1:3" ht="22.5" x14ac:dyDescent="0.2">
      <c r="A26" s="411" t="s">
        <v>321</v>
      </c>
      <c r="B26" s="392" t="s">
        <v>731</v>
      </c>
      <c r="C26" s="414" t="s">
        <v>732</v>
      </c>
    </row>
    <row r="27" spans="1:3" ht="22.5" x14ac:dyDescent="0.2">
      <c r="A27" s="411" t="s">
        <v>321</v>
      </c>
      <c r="B27" s="392" t="s">
        <v>733</v>
      </c>
      <c r="C27" s="414" t="s">
        <v>734</v>
      </c>
    </row>
    <row r="28" spans="1:3" ht="22.5" x14ac:dyDescent="0.2">
      <c r="A28" s="411" t="s">
        <v>321</v>
      </c>
      <c r="B28" s="392" t="s">
        <v>735</v>
      </c>
      <c r="C28" s="414" t="s">
        <v>736</v>
      </c>
    </row>
    <row r="29" spans="1:3" ht="22.5" x14ac:dyDescent="0.2">
      <c r="A29" s="411" t="s">
        <v>321</v>
      </c>
      <c r="B29" s="392" t="s">
        <v>737</v>
      </c>
      <c r="C29" s="414" t="s">
        <v>738</v>
      </c>
    </row>
    <row r="30" spans="1:3" ht="22.5" x14ac:dyDescent="0.2">
      <c r="A30" s="411" t="s">
        <v>321</v>
      </c>
      <c r="B30" s="392" t="s">
        <v>739</v>
      </c>
      <c r="C30" s="414" t="s">
        <v>740</v>
      </c>
    </row>
    <row r="31" spans="1:3" ht="33.75" x14ac:dyDescent="0.2">
      <c r="A31" s="411" t="s">
        <v>321</v>
      </c>
      <c r="B31" s="392" t="s">
        <v>741</v>
      </c>
      <c r="C31" s="414" t="s">
        <v>742</v>
      </c>
    </row>
    <row r="32" spans="1:3" ht="33.75" x14ac:dyDescent="0.2">
      <c r="A32" s="411" t="s">
        <v>321</v>
      </c>
      <c r="B32" s="392" t="s">
        <v>743</v>
      </c>
      <c r="C32" s="414" t="s">
        <v>744</v>
      </c>
    </row>
    <row r="33" spans="1:3" x14ac:dyDescent="0.2">
      <c r="A33" s="411" t="s">
        <v>321</v>
      </c>
      <c r="B33" s="392" t="s">
        <v>745</v>
      </c>
      <c r="C33" s="414" t="s">
        <v>746</v>
      </c>
    </row>
    <row r="34" spans="1:3" ht="22.5" x14ac:dyDescent="0.2">
      <c r="A34" s="411" t="s">
        <v>321</v>
      </c>
      <c r="B34" s="392" t="s">
        <v>747</v>
      </c>
      <c r="C34" s="414" t="s">
        <v>748</v>
      </c>
    </row>
    <row r="35" spans="1:3" ht="33.75" x14ac:dyDescent="0.2">
      <c r="A35" s="411" t="s">
        <v>749</v>
      </c>
      <c r="B35" s="392" t="s">
        <v>750</v>
      </c>
      <c r="C35" s="414" t="s">
        <v>91</v>
      </c>
    </row>
    <row r="36" spans="1:3" ht="22.5" x14ac:dyDescent="0.2">
      <c r="A36" s="411" t="s">
        <v>321</v>
      </c>
      <c r="B36" s="392" t="s">
        <v>751</v>
      </c>
      <c r="C36" s="414" t="s">
        <v>752</v>
      </c>
    </row>
    <row r="37" spans="1:3" x14ac:dyDescent="0.2">
      <c r="A37" s="411" t="s">
        <v>321</v>
      </c>
      <c r="B37" s="392" t="s">
        <v>753</v>
      </c>
      <c r="C37" s="414" t="s">
        <v>754</v>
      </c>
    </row>
    <row r="38" spans="1:3" ht="22.5" x14ac:dyDescent="0.2">
      <c r="A38" s="411" t="s">
        <v>321</v>
      </c>
      <c r="B38" s="392" t="s">
        <v>755</v>
      </c>
      <c r="C38" s="414" t="s">
        <v>756</v>
      </c>
    </row>
    <row r="39" spans="1:3" ht="45" x14ac:dyDescent="0.2">
      <c r="A39" s="411" t="s">
        <v>321</v>
      </c>
      <c r="B39" s="431" t="s">
        <v>799</v>
      </c>
      <c r="C39" s="414" t="s">
        <v>800</v>
      </c>
    </row>
    <row r="40" spans="1:3" ht="22.5" x14ac:dyDescent="0.2">
      <c r="A40" s="411" t="s">
        <v>321</v>
      </c>
      <c r="B40" s="392" t="s">
        <v>757</v>
      </c>
      <c r="C40" s="414" t="s">
        <v>758</v>
      </c>
    </row>
    <row r="41" spans="1:3" ht="22.5" x14ac:dyDescent="0.2">
      <c r="A41" s="411" t="s">
        <v>321</v>
      </c>
      <c r="B41" s="392" t="s">
        <v>759</v>
      </c>
      <c r="C41" s="414" t="s">
        <v>760</v>
      </c>
    </row>
    <row r="42" spans="1:3" x14ac:dyDescent="0.2">
      <c r="A42" s="415" t="s">
        <v>374</v>
      </c>
      <c r="B42" s="392"/>
      <c r="C42" s="416" t="s">
        <v>761</v>
      </c>
    </row>
    <row r="43" spans="1:3" ht="45" x14ac:dyDescent="0.2">
      <c r="A43" s="411" t="s">
        <v>374</v>
      </c>
      <c r="B43" s="417" t="s">
        <v>762</v>
      </c>
      <c r="C43" s="418" t="s">
        <v>763</v>
      </c>
    </row>
    <row r="44" spans="1:3" ht="33.75" x14ac:dyDescent="0.2">
      <c r="A44" s="411" t="s">
        <v>374</v>
      </c>
      <c r="B44" s="417" t="s">
        <v>764</v>
      </c>
      <c r="C44" s="418" t="s">
        <v>38</v>
      </c>
    </row>
    <row r="45" spans="1:3" ht="22.5" x14ac:dyDescent="0.2">
      <c r="A45" s="411" t="s">
        <v>374</v>
      </c>
      <c r="B45" s="392" t="s">
        <v>765</v>
      </c>
      <c r="C45" s="414" t="s">
        <v>766</v>
      </c>
    </row>
    <row r="46" spans="1:3" ht="22.5" x14ac:dyDescent="0.2">
      <c r="A46" s="411" t="s">
        <v>374</v>
      </c>
      <c r="B46" s="392" t="s">
        <v>45</v>
      </c>
      <c r="C46" s="414" t="s">
        <v>692</v>
      </c>
    </row>
    <row r="47" spans="1:3" x14ac:dyDescent="0.2">
      <c r="A47" s="411" t="s">
        <v>374</v>
      </c>
      <c r="B47" s="392" t="s">
        <v>47</v>
      </c>
      <c r="C47" s="414" t="s">
        <v>767</v>
      </c>
    </row>
    <row r="48" spans="1:3" ht="22.5" x14ac:dyDescent="0.2">
      <c r="A48" s="411" t="s">
        <v>374</v>
      </c>
      <c r="B48" s="392" t="s">
        <v>768</v>
      </c>
      <c r="C48" s="414" t="s">
        <v>769</v>
      </c>
    </row>
    <row r="49" spans="1:3" ht="22.5" x14ac:dyDescent="0.2">
      <c r="A49" s="411" t="s">
        <v>374</v>
      </c>
      <c r="B49" s="392" t="s">
        <v>770</v>
      </c>
      <c r="C49" s="414" t="s">
        <v>771</v>
      </c>
    </row>
    <row r="50" spans="1:3" x14ac:dyDescent="0.2">
      <c r="A50" s="411" t="s">
        <v>374</v>
      </c>
      <c r="B50" s="392" t="s">
        <v>715</v>
      </c>
      <c r="C50" s="414" t="s">
        <v>716</v>
      </c>
    </row>
    <row r="51" spans="1:3" x14ac:dyDescent="0.2">
      <c r="A51" s="411" t="s">
        <v>374</v>
      </c>
      <c r="B51" s="392" t="s">
        <v>717</v>
      </c>
      <c r="C51" s="414" t="s">
        <v>718</v>
      </c>
    </row>
    <row r="52" spans="1:3" ht="33.75" customHeight="1" x14ac:dyDescent="0.2">
      <c r="A52" s="419"/>
    </row>
    <row r="53" spans="1:3" x14ac:dyDescent="0.2">
      <c r="A53" s="420"/>
    </row>
    <row r="54" spans="1:3" x14ac:dyDescent="0.2">
      <c r="A54" s="420"/>
    </row>
    <row r="55" spans="1:3" x14ac:dyDescent="0.2">
      <c r="A55" s="420"/>
    </row>
    <row r="56" spans="1:3" x14ac:dyDescent="0.2">
      <c r="A56" s="420"/>
    </row>
    <row r="57" spans="1:3" x14ac:dyDescent="0.2">
      <c r="A57" s="420"/>
    </row>
    <row r="64" spans="1:3" ht="22.5" customHeight="1" x14ac:dyDescent="0.2"/>
    <row r="65" ht="12.75" customHeight="1" x14ac:dyDescent="0.2"/>
    <row r="74" ht="30" customHeight="1" x14ac:dyDescent="0.2"/>
  </sheetData>
  <mergeCells count="3">
    <mergeCell ref="A10:C10"/>
    <mergeCell ref="A12:B12"/>
    <mergeCell ref="C12:C13"/>
  </mergeCells>
  <pageMargins left="0.7" right="0.7" top="0.75" bottom="0.75" header="0.3" footer="0.3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15"/>
  <sheetViews>
    <sheetView view="pageBreakPreview" zoomScale="96" zoomScaleNormal="100" zoomScaleSheetLayoutView="96" workbookViewId="0">
      <selection activeCell="A2" sqref="A2:F2"/>
    </sheetView>
  </sheetViews>
  <sheetFormatPr defaultRowHeight="12.75" x14ac:dyDescent="0.2"/>
  <cols>
    <col min="1" max="1" width="47.7109375" style="55" customWidth="1"/>
    <col min="2" max="2" width="3.7109375" style="60" customWidth="1"/>
    <col min="3" max="3" width="5.42578125" style="60" customWidth="1"/>
    <col min="4" max="4" width="11.5703125" style="60" customWidth="1"/>
    <col min="5" max="5" width="7.28515625" style="59" customWidth="1"/>
    <col min="6" max="6" width="10.140625" style="274" customWidth="1"/>
    <col min="7" max="13" width="9.140625" style="273"/>
    <col min="14" max="256" width="9.140625" style="274"/>
    <col min="257" max="257" width="47.7109375" style="274" customWidth="1"/>
    <col min="258" max="258" width="3.7109375" style="274" customWidth="1"/>
    <col min="259" max="259" width="5.42578125" style="274" customWidth="1"/>
    <col min="260" max="260" width="11.5703125" style="274" customWidth="1"/>
    <col min="261" max="261" width="7.28515625" style="274" customWidth="1"/>
    <col min="262" max="262" width="10.140625" style="274" customWidth="1"/>
    <col min="263" max="512" width="9.140625" style="274"/>
    <col min="513" max="513" width="47.7109375" style="274" customWidth="1"/>
    <col min="514" max="514" width="3.7109375" style="274" customWidth="1"/>
    <col min="515" max="515" width="5.42578125" style="274" customWidth="1"/>
    <col min="516" max="516" width="11.5703125" style="274" customWidth="1"/>
    <col min="517" max="517" width="7.28515625" style="274" customWidth="1"/>
    <col min="518" max="518" width="10.140625" style="274" customWidth="1"/>
    <col min="519" max="768" width="9.140625" style="274"/>
    <col min="769" max="769" width="47.7109375" style="274" customWidth="1"/>
    <col min="770" max="770" width="3.7109375" style="274" customWidth="1"/>
    <col min="771" max="771" width="5.42578125" style="274" customWidth="1"/>
    <col min="772" max="772" width="11.5703125" style="274" customWidth="1"/>
    <col min="773" max="773" width="7.28515625" style="274" customWidth="1"/>
    <col min="774" max="774" width="10.140625" style="274" customWidth="1"/>
    <col min="775" max="1024" width="9.140625" style="274"/>
    <col min="1025" max="1025" width="47.7109375" style="274" customWidth="1"/>
    <col min="1026" max="1026" width="3.7109375" style="274" customWidth="1"/>
    <col min="1027" max="1027" width="5.42578125" style="274" customWidth="1"/>
    <col min="1028" max="1028" width="11.5703125" style="274" customWidth="1"/>
    <col min="1029" max="1029" width="7.28515625" style="274" customWidth="1"/>
    <col min="1030" max="1030" width="10.140625" style="274" customWidth="1"/>
    <col min="1031" max="1280" width="9.140625" style="274"/>
    <col min="1281" max="1281" width="47.7109375" style="274" customWidth="1"/>
    <col min="1282" max="1282" width="3.7109375" style="274" customWidth="1"/>
    <col min="1283" max="1283" width="5.42578125" style="274" customWidth="1"/>
    <col min="1284" max="1284" width="11.5703125" style="274" customWidth="1"/>
    <col min="1285" max="1285" width="7.28515625" style="274" customWidth="1"/>
    <col min="1286" max="1286" width="10.140625" style="274" customWidth="1"/>
    <col min="1287" max="1536" width="9.140625" style="274"/>
    <col min="1537" max="1537" width="47.7109375" style="274" customWidth="1"/>
    <col min="1538" max="1538" width="3.7109375" style="274" customWidth="1"/>
    <col min="1539" max="1539" width="5.42578125" style="274" customWidth="1"/>
    <col min="1540" max="1540" width="11.5703125" style="274" customWidth="1"/>
    <col min="1541" max="1541" width="7.28515625" style="274" customWidth="1"/>
    <col min="1542" max="1542" width="10.140625" style="274" customWidth="1"/>
    <col min="1543" max="1792" width="9.140625" style="274"/>
    <col min="1793" max="1793" width="47.7109375" style="274" customWidth="1"/>
    <col min="1794" max="1794" width="3.7109375" style="274" customWidth="1"/>
    <col min="1795" max="1795" width="5.42578125" style="274" customWidth="1"/>
    <col min="1796" max="1796" width="11.5703125" style="274" customWidth="1"/>
    <col min="1797" max="1797" width="7.28515625" style="274" customWidth="1"/>
    <col min="1798" max="1798" width="10.140625" style="274" customWidth="1"/>
    <col min="1799" max="2048" width="9.140625" style="274"/>
    <col min="2049" max="2049" width="47.7109375" style="274" customWidth="1"/>
    <col min="2050" max="2050" width="3.7109375" style="274" customWidth="1"/>
    <col min="2051" max="2051" width="5.42578125" style="274" customWidth="1"/>
    <col min="2052" max="2052" width="11.5703125" style="274" customWidth="1"/>
    <col min="2053" max="2053" width="7.28515625" style="274" customWidth="1"/>
    <col min="2054" max="2054" width="10.140625" style="274" customWidth="1"/>
    <col min="2055" max="2304" width="9.140625" style="274"/>
    <col min="2305" max="2305" width="47.7109375" style="274" customWidth="1"/>
    <col min="2306" max="2306" width="3.7109375" style="274" customWidth="1"/>
    <col min="2307" max="2307" width="5.42578125" style="274" customWidth="1"/>
    <col min="2308" max="2308" width="11.5703125" style="274" customWidth="1"/>
    <col min="2309" max="2309" width="7.28515625" style="274" customWidth="1"/>
    <col min="2310" max="2310" width="10.140625" style="274" customWidth="1"/>
    <col min="2311" max="2560" width="9.140625" style="274"/>
    <col min="2561" max="2561" width="47.7109375" style="274" customWidth="1"/>
    <col min="2562" max="2562" width="3.7109375" style="274" customWidth="1"/>
    <col min="2563" max="2563" width="5.42578125" style="274" customWidth="1"/>
    <col min="2564" max="2564" width="11.5703125" style="274" customWidth="1"/>
    <col min="2565" max="2565" width="7.28515625" style="274" customWidth="1"/>
    <col min="2566" max="2566" width="10.140625" style="274" customWidth="1"/>
    <col min="2567" max="2816" width="9.140625" style="274"/>
    <col min="2817" max="2817" width="47.7109375" style="274" customWidth="1"/>
    <col min="2818" max="2818" width="3.7109375" style="274" customWidth="1"/>
    <col min="2819" max="2819" width="5.42578125" style="274" customWidth="1"/>
    <col min="2820" max="2820" width="11.5703125" style="274" customWidth="1"/>
    <col min="2821" max="2821" width="7.28515625" style="274" customWidth="1"/>
    <col min="2822" max="2822" width="10.140625" style="274" customWidth="1"/>
    <col min="2823" max="3072" width="9.140625" style="274"/>
    <col min="3073" max="3073" width="47.7109375" style="274" customWidth="1"/>
    <col min="3074" max="3074" width="3.7109375" style="274" customWidth="1"/>
    <col min="3075" max="3075" width="5.42578125" style="274" customWidth="1"/>
    <col min="3076" max="3076" width="11.5703125" style="274" customWidth="1"/>
    <col min="3077" max="3077" width="7.28515625" style="274" customWidth="1"/>
    <col min="3078" max="3078" width="10.140625" style="274" customWidth="1"/>
    <col min="3079" max="3328" width="9.140625" style="274"/>
    <col min="3329" max="3329" width="47.7109375" style="274" customWidth="1"/>
    <col min="3330" max="3330" width="3.7109375" style="274" customWidth="1"/>
    <col min="3331" max="3331" width="5.42578125" style="274" customWidth="1"/>
    <col min="3332" max="3332" width="11.5703125" style="274" customWidth="1"/>
    <col min="3333" max="3333" width="7.28515625" style="274" customWidth="1"/>
    <col min="3334" max="3334" width="10.140625" style="274" customWidth="1"/>
    <col min="3335" max="3584" width="9.140625" style="274"/>
    <col min="3585" max="3585" width="47.7109375" style="274" customWidth="1"/>
    <col min="3586" max="3586" width="3.7109375" style="274" customWidth="1"/>
    <col min="3587" max="3587" width="5.42578125" style="274" customWidth="1"/>
    <col min="3588" max="3588" width="11.5703125" style="274" customWidth="1"/>
    <col min="3589" max="3589" width="7.28515625" style="274" customWidth="1"/>
    <col min="3590" max="3590" width="10.140625" style="274" customWidth="1"/>
    <col min="3591" max="3840" width="9.140625" style="274"/>
    <col min="3841" max="3841" width="47.7109375" style="274" customWidth="1"/>
    <col min="3842" max="3842" width="3.7109375" style="274" customWidth="1"/>
    <col min="3843" max="3843" width="5.42578125" style="274" customWidth="1"/>
    <col min="3844" max="3844" width="11.5703125" style="274" customWidth="1"/>
    <col min="3845" max="3845" width="7.28515625" style="274" customWidth="1"/>
    <col min="3846" max="3846" width="10.140625" style="274" customWidth="1"/>
    <col min="3847" max="4096" width="9.140625" style="274"/>
    <col min="4097" max="4097" width="47.7109375" style="274" customWidth="1"/>
    <col min="4098" max="4098" width="3.7109375" style="274" customWidth="1"/>
    <col min="4099" max="4099" width="5.42578125" style="274" customWidth="1"/>
    <col min="4100" max="4100" width="11.5703125" style="274" customWidth="1"/>
    <col min="4101" max="4101" width="7.28515625" style="274" customWidth="1"/>
    <col min="4102" max="4102" width="10.140625" style="274" customWidth="1"/>
    <col min="4103" max="4352" width="9.140625" style="274"/>
    <col min="4353" max="4353" width="47.7109375" style="274" customWidth="1"/>
    <col min="4354" max="4354" width="3.7109375" style="274" customWidth="1"/>
    <col min="4355" max="4355" width="5.42578125" style="274" customWidth="1"/>
    <col min="4356" max="4356" width="11.5703125" style="274" customWidth="1"/>
    <col min="4357" max="4357" width="7.28515625" style="274" customWidth="1"/>
    <col min="4358" max="4358" width="10.140625" style="274" customWidth="1"/>
    <col min="4359" max="4608" width="9.140625" style="274"/>
    <col min="4609" max="4609" width="47.7109375" style="274" customWidth="1"/>
    <col min="4610" max="4610" width="3.7109375" style="274" customWidth="1"/>
    <col min="4611" max="4611" width="5.42578125" style="274" customWidth="1"/>
    <col min="4612" max="4612" width="11.5703125" style="274" customWidth="1"/>
    <col min="4613" max="4613" width="7.28515625" style="274" customWidth="1"/>
    <col min="4614" max="4614" width="10.140625" style="274" customWidth="1"/>
    <col min="4615" max="4864" width="9.140625" style="274"/>
    <col min="4865" max="4865" width="47.7109375" style="274" customWidth="1"/>
    <col min="4866" max="4866" width="3.7109375" style="274" customWidth="1"/>
    <col min="4867" max="4867" width="5.42578125" style="274" customWidth="1"/>
    <col min="4868" max="4868" width="11.5703125" style="274" customWidth="1"/>
    <col min="4869" max="4869" width="7.28515625" style="274" customWidth="1"/>
    <col min="4870" max="4870" width="10.140625" style="274" customWidth="1"/>
    <col min="4871" max="5120" width="9.140625" style="274"/>
    <col min="5121" max="5121" width="47.7109375" style="274" customWidth="1"/>
    <col min="5122" max="5122" width="3.7109375" style="274" customWidth="1"/>
    <col min="5123" max="5123" width="5.42578125" style="274" customWidth="1"/>
    <col min="5124" max="5124" width="11.5703125" style="274" customWidth="1"/>
    <col min="5125" max="5125" width="7.28515625" style="274" customWidth="1"/>
    <col min="5126" max="5126" width="10.140625" style="274" customWidth="1"/>
    <col min="5127" max="5376" width="9.140625" style="274"/>
    <col min="5377" max="5377" width="47.7109375" style="274" customWidth="1"/>
    <col min="5378" max="5378" width="3.7109375" style="274" customWidth="1"/>
    <col min="5379" max="5379" width="5.42578125" style="274" customWidth="1"/>
    <col min="5380" max="5380" width="11.5703125" style="274" customWidth="1"/>
    <col min="5381" max="5381" width="7.28515625" style="274" customWidth="1"/>
    <col min="5382" max="5382" width="10.140625" style="274" customWidth="1"/>
    <col min="5383" max="5632" width="9.140625" style="274"/>
    <col min="5633" max="5633" width="47.7109375" style="274" customWidth="1"/>
    <col min="5634" max="5634" width="3.7109375" style="274" customWidth="1"/>
    <col min="5635" max="5635" width="5.42578125" style="274" customWidth="1"/>
    <col min="5636" max="5636" width="11.5703125" style="274" customWidth="1"/>
    <col min="5637" max="5637" width="7.28515625" style="274" customWidth="1"/>
    <col min="5638" max="5638" width="10.140625" style="274" customWidth="1"/>
    <col min="5639" max="5888" width="9.140625" style="274"/>
    <col min="5889" max="5889" width="47.7109375" style="274" customWidth="1"/>
    <col min="5890" max="5890" width="3.7109375" style="274" customWidth="1"/>
    <col min="5891" max="5891" width="5.42578125" style="274" customWidth="1"/>
    <col min="5892" max="5892" width="11.5703125" style="274" customWidth="1"/>
    <col min="5893" max="5893" width="7.28515625" style="274" customWidth="1"/>
    <col min="5894" max="5894" width="10.140625" style="274" customWidth="1"/>
    <col min="5895" max="6144" width="9.140625" style="274"/>
    <col min="6145" max="6145" width="47.7109375" style="274" customWidth="1"/>
    <col min="6146" max="6146" width="3.7109375" style="274" customWidth="1"/>
    <col min="6147" max="6147" width="5.42578125" style="274" customWidth="1"/>
    <col min="6148" max="6148" width="11.5703125" style="274" customWidth="1"/>
    <col min="6149" max="6149" width="7.28515625" style="274" customWidth="1"/>
    <col min="6150" max="6150" width="10.140625" style="274" customWidth="1"/>
    <col min="6151" max="6400" width="9.140625" style="274"/>
    <col min="6401" max="6401" width="47.7109375" style="274" customWidth="1"/>
    <col min="6402" max="6402" width="3.7109375" style="274" customWidth="1"/>
    <col min="6403" max="6403" width="5.42578125" style="274" customWidth="1"/>
    <col min="6404" max="6404" width="11.5703125" style="274" customWidth="1"/>
    <col min="6405" max="6405" width="7.28515625" style="274" customWidth="1"/>
    <col min="6406" max="6406" width="10.140625" style="274" customWidth="1"/>
    <col min="6407" max="6656" width="9.140625" style="274"/>
    <col min="6657" max="6657" width="47.7109375" style="274" customWidth="1"/>
    <col min="6658" max="6658" width="3.7109375" style="274" customWidth="1"/>
    <col min="6659" max="6659" width="5.42578125" style="274" customWidth="1"/>
    <col min="6660" max="6660" width="11.5703125" style="274" customWidth="1"/>
    <col min="6661" max="6661" width="7.28515625" style="274" customWidth="1"/>
    <col min="6662" max="6662" width="10.140625" style="274" customWidth="1"/>
    <col min="6663" max="6912" width="9.140625" style="274"/>
    <col min="6913" max="6913" width="47.7109375" style="274" customWidth="1"/>
    <col min="6914" max="6914" width="3.7109375" style="274" customWidth="1"/>
    <col min="6915" max="6915" width="5.42578125" style="274" customWidth="1"/>
    <col min="6916" max="6916" width="11.5703125" style="274" customWidth="1"/>
    <col min="6917" max="6917" width="7.28515625" style="274" customWidth="1"/>
    <col min="6918" max="6918" width="10.140625" style="274" customWidth="1"/>
    <col min="6919" max="7168" width="9.140625" style="274"/>
    <col min="7169" max="7169" width="47.7109375" style="274" customWidth="1"/>
    <col min="7170" max="7170" width="3.7109375" style="274" customWidth="1"/>
    <col min="7171" max="7171" width="5.42578125" style="274" customWidth="1"/>
    <col min="7172" max="7172" width="11.5703125" style="274" customWidth="1"/>
    <col min="7173" max="7173" width="7.28515625" style="274" customWidth="1"/>
    <col min="7174" max="7174" width="10.140625" style="274" customWidth="1"/>
    <col min="7175" max="7424" width="9.140625" style="274"/>
    <col min="7425" max="7425" width="47.7109375" style="274" customWidth="1"/>
    <col min="7426" max="7426" width="3.7109375" style="274" customWidth="1"/>
    <col min="7427" max="7427" width="5.42578125" style="274" customWidth="1"/>
    <col min="7428" max="7428" width="11.5703125" style="274" customWidth="1"/>
    <col min="7429" max="7429" width="7.28515625" style="274" customWidth="1"/>
    <col min="7430" max="7430" width="10.140625" style="274" customWidth="1"/>
    <col min="7431" max="7680" width="9.140625" style="274"/>
    <col min="7681" max="7681" width="47.7109375" style="274" customWidth="1"/>
    <col min="7682" max="7682" width="3.7109375" style="274" customWidth="1"/>
    <col min="7683" max="7683" width="5.42578125" style="274" customWidth="1"/>
    <col min="7684" max="7684" width="11.5703125" style="274" customWidth="1"/>
    <col min="7685" max="7685" width="7.28515625" style="274" customWidth="1"/>
    <col min="7686" max="7686" width="10.140625" style="274" customWidth="1"/>
    <col min="7687" max="7936" width="9.140625" style="274"/>
    <col min="7937" max="7937" width="47.7109375" style="274" customWidth="1"/>
    <col min="7938" max="7938" width="3.7109375" style="274" customWidth="1"/>
    <col min="7939" max="7939" width="5.42578125" style="274" customWidth="1"/>
    <col min="7940" max="7940" width="11.5703125" style="274" customWidth="1"/>
    <col min="7941" max="7941" width="7.28515625" style="274" customWidth="1"/>
    <col min="7942" max="7942" width="10.140625" style="274" customWidth="1"/>
    <col min="7943" max="8192" width="9.140625" style="274"/>
    <col min="8193" max="8193" width="47.7109375" style="274" customWidth="1"/>
    <col min="8194" max="8194" width="3.7109375" style="274" customWidth="1"/>
    <col min="8195" max="8195" width="5.42578125" style="274" customWidth="1"/>
    <col min="8196" max="8196" width="11.5703125" style="274" customWidth="1"/>
    <col min="8197" max="8197" width="7.28515625" style="274" customWidth="1"/>
    <col min="8198" max="8198" width="10.140625" style="274" customWidth="1"/>
    <col min="8199" max="8448" width="9.140625" style="274"/>
    <col min="8449" max="8449" width="47.7109375" style="274" customWidth="1"/>
    <col min="8450" max="8450" width="3.7109375" style="274" customWidth="1"/>
    <col min="8451" max="8451" width="5.42578125" style="274" customWidth="1"/>
    <col min="8452" max="8452" width="11.5703125" style="274" customWidth="1"/>
    <col min="8453" max="8453" width="7.28515625" style="274" customWidth="1"/>
    <col min="8454" max="8454" width="10.140625" style="274" customWidth="1"/>
    <col min="8455" max="8704" width="9.140625" style="274"/>
    <col min="8705" max="8705" width="47.7109375" style="274" customWidth="1"/>
    <col min="8706" max="8706" width="3.7109375" style="274" customWidth="1"/>
    <col min="8707" max="8707" width="5.42578125" style="274" customWidth="1"/>
    <col min="8708" max="8708" width="11.5703125" style="274" customWidth="1"/>
    <col min="8709" max="8709" width="7.28515625" style="274" customWidth="1"/>
    <col min="8710" max="8710" width="10.140625" style="274" customWidth="1"/>
    <col min="8711" max="8960" width="9.140625" style="274"/>
    <col min="8961" max="8961" width="47.7109375" style="274" customWidth="1"/>
    <col min="8962" max="8962" width="3.7109375" style="274" customWidth="1"/>
    <col min="8963" max="8963" width="5.42578125" style="274" customWidth="1"/>
    <col min="8964" max="8964" width="11.5703125" style="274" customWidth="1"/>
    <col min="8965" max="8965" width="7.28515625" style="274" customWidth="1"/>
    <col min="8966" max="8966" width="10.140625" style="274" customWidth="1"/>
    <col min="8967" max="9216" width="9.140625" style="274"/>
    <col min="9217" max="9217" width="47.7109375" style="274" customWidth="1"/>
    <col min="9218" max="9218" width="3.7109375" style="274" customWidth="1"/>
    <col min="9219" max="9219" width="5.42578125" style="274" customWidth="1"/>
    <col min="9220" max="9220" width="11.5703125" style="274" customWidth="1"/>
    <col min="9221" max="9221" width="7.28515625" style="274" customWidth="1"/>
    <col min="9222" max="9222" width="10.140625" style="274" customWidth="1"/>
    <col min="9223" max="9472" width="9.140625" style="274"/>
    <col min="9473" max="9473" width="47.7109375" style="274" customWidth="1"/>
    <col min="9474" max="9474" width="3.7109375" style="274" customWidth="1"/>
    <col min="9475" max="9475" width="5.42578125" style="274" customWidth="1"/>
    <col min="9476" max="9476" width="11.5703125" style="274" customWidth="1"/>
    <col min="9477" max="9477" width="7.28515625" style="274" customWidth="1"/>
    <col min="9478" max="9478" width="10.140625" style="274" customWidth="1"/>
    <col min="9479" max="9728" width="9.140625" style="274"/>
    <col min="9729" max="9729" width="47.7109375" style="274" customWidth="1"/>
    <col min="9730" max="9730" width="3.7109375" style="274" customWidth="1"/>
    <col min="9731" max="9731" width="5.42578125" style="274" customWidth="1"/>
    <col min="9732" max="9732" width="11.5703125" style="274" customWidth="1"/>
    <col min="9733" max="9733" width="7.28515625" style="274" customWidth="1"/>
    <col min="9734" max="9734" width="10.140625" style="274" customWidth="1"/>
    <col min="9735" max="9984" width="9.140625" style="274"/>
    <col min="9985" max="9985" width="47.7109375" style="274" customWidth="1"/>
    <col min="9986" max="9986" width="3.7109375" style="274" customWidth="1"/>
    <col min="9987" max="9987" width="5.42578125" style="274" customWidth="1"/>
    <col min="9988" max="9988" width="11.5703125" style="274" customWidth="1"/>
    <col min="9989" max="9989" width="7.28515625" style="274" customWidth="1"/>
    <col min="9990" max="9990" width="10.140625" style="274" customWidth="1"/>
    <col min="9991" max="10240" width="9.140625" style="274"/>
    <col min="10241" max="10241" width="47.7109375" style="274" customWidth="1"/>
    <col min="10242" max="10242" width="3.7109375" style="274" customWidth="1"/>
    <col min="10243" max="10243" width="5.42578125" style="274" customWidth="1"/>
    <col min="10244" max="10244" width="11.5703125" style="274" customWidth="1"/>
    <col min="10245" max="10245" width="7.28515625" style="274" customWidth="1"/>
    <col min="10246" max="10246" width="10.140625" style="274" customWidth="1"/>
    <col min="10247" max="10496" width="9.140625" style="274"/>
    <col min="10497" max="10497" width="47.7109375" style="274" customWidth="1"/>
    <col min="10498" max="10498" width="3.7109375" style="274" customWidth="1"/>
    <col min="10499" max="10499" width="5.42578125" style="274" customWidth="1"/>
    <col min="10500" max="10500" width="11.5703125" style="274" customWidth="1"/>
    <col min="10501" max="10501" width="7.28515625" style="274" customWidth="1"/>
    <col min="10502" max="10502" width="10.140625" style="274" customWidth="1"/>
    <col min="10503" max="10752" width="9.140625" style="274"/>
    <col min="10753" max="10753" width="47.7109375" style="274" customWidth="1"/>
    <col min="10754" max="10754" width="3.7109375" style="274" customWidth="1"/>
    <col min="10755" max="10755" width="5.42578125" style="274" customWidth="1"/>
    <col min="10756" max="10756" width="11.5703125" style="274" customWidth="1"/>
    <col min="10757" max="10757" width="7.28515625" style="274" customWidth="1"/>
    <col min="10758" max="10758" width="10.140625" style="274" customWidth="1"/>
    <col min="10759" max="11008" width="9.140625" style="274"/>
    <col min="11009" max="11009" width="47.7109375" style="274" customWidth="1"/>
    <col min="11010" max="11010" width="3.7109375" style="274" customWidth="1"/>
    <col min="11011" max="11011" width="5.42578125" style="274" customWidth="1"/>
    <col min="11012" max="11012" width="11.5703125" style="274" customWidth="1"/>
    <col min="11013" max="11013" width="7.28515625" style="274" customWidth="1"/>
    <col min="11014" max="11014" width="10.140625" style="274" customWidth="1"/>
    <col min="11015" max="11264" width="9.140625" style="274"/>
    <col min="11265" max="11265" width="47.7109375" style="274" customWidth="1"/>
    <col min="11266" max="11266" width="3.7109375" style="274" customWidth="1"/>
    <col min="11267" max="11267" width="5.42578125" style="274" customWidth="1"/>
    <col min="11268" max="11268" width="11.5703125" style="274" customWidth="1"/>
    <col min="11269" max="11269" width="7.28515625" style="274" customWidth="1"/>
    <col min="11270" max="11270" width="10.140625" style="274" customWidth="1"/>
    <col min="11271" max="11520" width="9.140625" style="274"/>
    <col min="11521" max="11521" width="47.7109375" style="274" customWidth="1"/>
    <col min="11522" max="11522" width="3.7109375" style="274" customWidth="1"/>
    <col min="11523" max="11523" width="5.42578125" style="274" customWidth="1"/>
    <col min="11524" max="11524" width="11.5703125" style="274" customWidth="1"/>
    <col min="11525" max="11525" width="7.28515625" style="274" customWidth="1"/>
    <col min="11526" max="11526" width="10.140625" style="274" customWidth="1"/>
    <col min="11527" max="11776" width="9.140625" style="274"/>
    <col min="11777" max="11777" width="47.7109375" style="274" customWidth="1"/>
    <col min="11778" max="11778" width="3.7109375" style="274" customWidth="1"/>
    <col min="11779" max="11779" width="5.42578125" style="274" customWidth="1"/>
    <col min="11780" max="11780" width="11.5703125" style="274" customWidth="1"/>
    <col min="11781" max="11781" width="7.28515625" style="274" customWidth="1"/>
    <col min="11782" max="11782" width="10.140625" style="274" customWidth="1"/>
    <col min="11783" max="12032" width="9.140625" style="274"/>
    <col min="12033" max="12033" width="47.7109375" style="274" customWidth="1"/>
    <col min="12034" max="12034" width="3.7109375" style="274" customWidth="1"/>
    <col min="12035" max="12035" width="5.42578125" style="274" customWidth="1"/>
    <col min="12036" max="12036" width="11.5703125" style="274" customWidth="1"/>
    <col min="12037" max="12037" width="7.28515625" style="274" customWidth="1"/>
    <col min="12038" max="12038" width="10.140625" style="274" customWidth="1"/>
    <col min="12039" max="12288" width="9.140625" style="274"/>
    <col min="12289" max="12289" width="47.7109375" style="274" customWidth="1"/>
    <col min="12290" max="12290" width="3.7109375" style="274" customWidth="1"/>
    <col min="12291" max="12291" width="5.42578125" style="274" customWidth="1"/>
    <col min="12292" max="12292" width="11.5703125" style="274" customWidth="1"/>
    <col min="12293" max="12293" width="7.28515625" style="274" customWidth="1"/>
    <col min="12294" max="12294" width="10.140625" style="274" customWidth="1"/>
    <col min="12295" max="12544" width="9.140625" style="274"/>
    <col min="12545" max="12545" width="47.7109375" style="274" customWidth="1"/>
    <col min="12546" max="12546" width="3.7109375" style="274" customWidth="1"/>
    <col min="12547" max="12547" width="5.42578125" style="274" customWidth="1"/>
    <col min="12548" max="12548" width="11.5703125" style="274" customWidth="1"/>
    <col min="12549" max="12549" width="7.28515625" style="274" customWidth="1"/>
    <col min="12550" max="12550" width="10.140625" style="274" customWidth="1"/>
    <col min="12551" max="12800" width="9.140625" style="274"/>
    <col min="12801" max="12801" width="47.7109375" style="274" customWidth="1"/>
    <col min="12802" max="12802" width="3.7109375" style="274" customWidth="1"/>
    <col min="12803" max="12803" width="5.42578125" style="274" customWidth="1"/>
    <col min="12804" max="12804" width="11.5703125" style="274" customWidth="1"/>
    <col min="12805" max="12805" width="7.28515625" style="274" customWidth="1"/>
    <col min="12806" max="12806" width="10.140625" style="274" customWidth="1"/>
    <col min="12807" max="13056" width="9.140625" style="274"/>
    <col min="13057" max="13057" width="47.7109375" style="274" customWidth="1"/>
    <col min="13058" max="13058" width="3.7109375" style="274" customWidth="1"/>
    <col min="13059" max="13059" width="5.42578125" style="274" customWidth="1"/>
    <col min="13060" max="13060" width="11.5703125" style="274" customWidth="1"/>
    <col min="13061" max="13061" width="7.28515625" style="274" customWidth="1"/>
    <col min="13062" max="13062" width="10.140625" style="274" customWidth="1"/>
    <col min="13063" max="13312" width="9.140625" style="274"/>
    <col min="13313" max="13313" width="47.7109375" style="274" customWidth="1"/>
    <col min="13314" max="13314" width="3.7109375" style="274" customWidth="1"/>
    <col min="13315" max="13315" width="5.42578125" style="274" customWidth="1"/>
    <col min="13316" max="13316" width="11.5703125" style="274" customWidth="1"/>
    <col min="13317" max="13317" width="7.28515625" style="274" customWidth="1"/>
    <col min="13318" max="13318" width="10.140625" style="274" customWidth="1"/>
    <col min="13319" max="13568" width="9.140625" style="274"/>
    <col min="13569" max="13569" width="47.7109375" style="274" customWidth="1"/>
    <col min="13570" max="13570" width="3.7109375" style="274" customWidth="1"/>
    <col min="13571" max="13571" width="5.42578125" style="274" customWidth="1"/>
    <col min="13572" max="13572" width="11.5703125" style="274" customWidth="1"/>
    <col min="13573" max="13573" width="7.28515625" style="274" customWidth="1"/>
    <col min="13574" max="13574" width="10.140625" style="274" customWidth="1"/>
    <col min="13575" max="13824" width="9.140625" style="274"/>
    <col min="13825" max="13825" width="47.7109375" style="274" customWidth="1"/>
    <col min="13826" max="13826" width="3.7109375" style="274" customWidth="1"/>
    <col min="13827" max="13827" width="5.42578125" style="274" customWidth="1"/>
    <col min="13828" max="13828" width="11.5703125" style="274" customWidth="1"/>
    <col min="13829" max="13829" width="7.28515625" style="274" customWidth="1"/>
    <col min="13830" max="13830" width="10.140625" style="274" customWidth="1"/>
    <col min="13831" max="14080" width="9.140625" style="274"/>
    <col min="14081" max="14081" width="47.7109375" style="274" customWidth="1"/>
    <col min="14082" max="14082" width="3.7109375" style="274" customWidth="1"/>
    <col min="14083" max="14083" width="5.42578125" style="274" customWidth="1"/>
    <col min="14084" max="14084" width="11.5703125" style="274" customWidth="1"/>
    <col min="14085" max="14085" width="7.28515625" style="274" customWidth="1"/>
    <col min="14086" max="14086" width="10.140625" style="274" customWidth="1"/>
    <col min="14087" max="14336" width="9.140625" style="274"/>
    <col min="14337" max="14337" width="47.7109375" style="274" customWidth="1"/>
    <col min="14338" max="14338" width="3.7109375" style="274" customWidth="1"/>
    <col min="14339" max="14339" width="5.42578125" style="274" customWidth="1"/>
    <col min="14340" max="14340" width="11.5703125" style="274" customWidth="1"/>
    <col min="14341" max="14341" width="7.28515625" style="274" customWidth="1"/>
    <col min="14342" max="14342" width="10.140625" style="274" customWidth="1"/>
    <col min="14343" max="14592" width="9.140625" style="274"/>
    <col min="14593" max="14593" width="47.7109375" style="274" customWidth="1"/>
    <col min="14594" max="14594" width="3.7109375" style="274" customWidth="1"/>
    <col min="14595" max="14595" width="5.42578125" style="274" customWidth="1"/>
    <col min="14596" max="14596" width="11.5703125" style="274" customWidth="1"/>
    <col min="14597" max="14597" width="7.28515625" style="274" customWidth="1"/>
    <col min="14598" max="14598" width="10.140625" style="274" customWidth="1"/>
    <col min="14599" max="14848" width="9.140625" style="274"/>
    <col min="14849" max="14849" width="47.7109375" style="274" customWidth="1"/>
    <col min="14850" max="14850" width="3.7109375" style="274" customWidth="1"/>
    <col min="14851" max="14851" width="5.42578125" style="274" customWidth="1"/>
    <col min="14852" max="14852" width="11.5703125" style="274" customWidth="1"/>
    <col min="14853" max="14853" width="7.28515625" style="274" customWidth="1"/>
    <col min="14854" max="14854" width="10.140625" style="274" customWidth="1"/>
    <col min="14855" max="15104" width="9.140625" style="274"/>
    <col min="15105" max="15105" width="47.7109375" style="274" customWidth="1"/>
    <col min="15106" max="15106" width="3.7109375" style="274" customWidth="1"/>
    <col min="15107" max="15107" width="5.42578125" style="274" customWidth="1"/>
    <col min="15108" max="15108" width="11.5703125" style="274" customWidth="1"/>
    <col min="15109" max="15109" width="7.28515625" style="274" customWidth="1"/>
    <col min="15110" max="15110" width="10.140625" style="274" customWidth="1"/>
    <col min="15111" max="15360" width="9.140625" style="274"/>
    <col min="15361" max="15361" width="47.7109375" style="274" customWidth="1"/>
    <col min="15362" max="15362" width="3.7109375" style="274" customWidth="1"/>
    <col min="15363" max="15363" width="5.42578125" style="274" customWidth="1"/>
    <col min="15364" max="15364" width="11.5703125" style="274" customWidth="1"/>
    <col min="15365" max="15365" width="7.28515625" style="274" customWidth="1"/>
    <col min="15366" max="15366" width="10.140625" style="274" customWidth="1"/>
    <col min="15367" max="15616" width="9.140625" style="274"/>
    <col min="15617" max="15617" width="47.7109375" style="274" customWidth="1"/>
    <col min="15618" max="15618" width="3.7109375" style="274" customWidth="1"/>
    <col min="15619" max="15619" width="5.42578125" style="274" customWidth="1"/>
    <col min="15620" max="15620" width="11.5703125" style="274" customWidth="1"/>
    <col min="15621" max="15621" width="7.28515625" style="274" customWidth="1"/>
    <col min="15622" max="15622" width="10.140625" style="274" customWidth="1"/>
    <col min="15623" max="15872" width="9.140625" style="274"/>
    <col min="15873" max="15873" width="47.7109375" style="274" customWidth="1"/>
    <col min="15874" max="15874" width="3.7109375" style="274" customWidth="1"/>
    <col min="15875" max="15875" width="5.42578125" style="274" customWidth="1"/>
    <col min="15876" max="15876" width="11.5703125" style="274" customWidth="1"/>
    <col min="15877" max="15877" width="7.28515625" style="274" customWidth="1"/>
    <col min="15878" max="15878" width="10.140625" style="274" customWidth="1"/>
    <col min="15879" max="16128" width="9.140625" style="274"/>
    <col min="16129" max="16129" width="47.7109375" style="274" customWidth="1"/>
    <col min="16130" max="16130" width="3.7109375" style="274" customWidth="1"/>
    <col min="16131" max="16131" width="5.42578125" style="274" customWidth="1"/>
    <col min="16132" max="16132" width="11.5703125" style="274" customWidth="1"/>
    <col min="16133" max="16133" width="7.28515625" style="274" customWidth="1"/>
    <col min="16134" max="16134" width="10.140625" style="274" customWidth="1"/>
    <col min="16135" max="16384" width="9.140625" style="274"/>
  </cols>
  <sheetData>
    <row r="1" spans="1:13" x14ac:dyDescent="0.2">
      <c r="A1" s="446" t="s">
        <v>773</v>
      </c>
      <c r="B1" s="446"/>
      <c r="C1" s="446"/>
      <c r="D1" s="446"/>
      <c r="E1" s="446"/>
      <c r="F1" s="446"/>
    </row>
    <row r="2" spans="1:13" x14ac:dyDescent="0.2">
      <c r="A2" s="446" t="s">
        <v>640</v>
      </c>
      <c r="B2" s="446"/>
      <c r="C2" s="446"/>
      <c r="D2" s="446"/>
      <c r="E2" s="446"/>
      <c r="F2" s="446"/>
    </row>
    <row r="3" spans="1:13" x14ac:dyDescent="0.2">
      <c r="A3" s="446" t="s">
        <v>641</v>
      </c>
      <c r="B3" s="446"/>
      <c r="C3" s="446"/>
      <c r="D3" s="446"/>
      <c r="E3" s="446"/>
      <c r="F3" s="446"/>
    </row>
    <row r="4" spans="1:13" x14ac:dyDescent="0.2">
      <c r="A4" s="446" t="s">
        <v>642</v>
      </c>
      <c r="B4" s="446"/>
      <c r="C4" s="446"/>
      <c r="D4" s="446"/>
      <c r="E4" s="446"/>
      <c r="F4" s="446"/>
    </row>
    <row r="5" spans="1:13" x14ac:dyDescent="0.2">
      <c r="A5" s="446" t="s">
        <v>674</v>
      </c>
      <c r="B5" s="446"/>
      <c r="C5" s="446"/>
      <c r="D5" s="446"/>
      <c r="E5" s="446"/>
      <c r="F5" s="446"/>
    </row>
    <row r="6" spans="1:13" x14ac:dyDescent="0.2">
      <c r="A6" s="446" t="s">
        <v>643</v>
      </c>
      <c r="B6" s="446"/>
      <c r="C6" s="446"/>
      <c r="D6" s="446"/>
      <c r="E6" s="446"/>
      <c r="F6" s="446"/>
    </row>
    <row r="7" spans="1:13" x14ac:dyDescent="0.2">
      <c r="A7" s="446" t="s">
        <v>642</v>
      </c>
      <c r="B7" s="446"/>
      <c r="C7" s="446"/>
      <c r="D7" s="446"/>
      <c r="E7" s="446"/>
      <c r="F7" s="446"/>
    </row>
    <row r="8" spans="1:13" x14ac:dyDescent="0.2">
      <c r="A8" s="446" t="s">
        <v>673</v>
      </c>
      <c r="B8" s="446"/>
      <c r="C8" s="446"/>
      <c r="D8" s="446"/>
      <c r="E8" s="446"/>
      <c r="F8" s="446"/>
    </row>
    <row r="10" spans="1:13" ht="24.75" customHeight="1" x14ac:dyDescent="0.2">
      <c r="A10" s="447" t="s">
        <v>644</v>
      </c>
      <c r="B10" s="447"/>
      <c r="C10" s="447"/>
      <c r="D10" s="447"/>
      <c r="E10" s="447"/>
      <c r="F10" s="447"/>
    </row>
    <row r="11" spans="1:13" ht="12.75" customHeight="1" x14ac:dyDescent="0.2">
      <c r="A11" s="448" t="s">
        <v>672</v>
      </c>
      <c r="B11" s="447"/>
      <c r="C11" s="447"/>
      <c r="D11" s="447"/>
      <c r="E11" s="447"/>
    </row>
    <row r="12" spans="1:13" x14ac:dyDescent="0.2">
      <c r="E12" s="275"/>
      <c r="F12" s="275" t="s">
        <v>109</v>
      </c>
    </row>
    <row r="13" spans="1:13" s="52" customFormat="1" ht="21" x14ac:dyDescent="0.2">
      <c r="A13" s="97" t="s">
        <v>110</v>
      </c>
      <c r="B13" s="96" t="s">
        <v>112</v>
      </c>
      <c r="C13" s="94" t="s">
        <v>113</v>
      </c>
      <c r="D13" s="96" t="s">
        <v>114</v>
      </c>
      <c r="E13" s="96" t="s">
        <v>115</v>
      </c>
      <c r="F13" s="272" t="s">
        <v>101</v>
      </c>
      <c r="G13" s="276"/>
      <c r="H13" s="90"/>
      <c r="I13" s="90"/>
      <c r="J13" s="90"/>
      <c r="K13" s="90"/>
      <c r="L13" s="90"/>
      <c r="M13" s="90"/>
    </row>
    <row r="14" spans="1:13" s="283" customFormat="1" x14ac:dyDescent="0.2">
      <c r="A14" s="277" t="s">
        <v>116</v>
      </c>
      <c r="B14" s="278"/>
      <c r="C14" s="62"/>
      <c r="D14" s="278"/>
      <c r="E14" s="278"/>
      <c r="F14" s="279">
        <f>F15+F119+F134+F160+F250+F265+F409++F462+F470+F567+F574+F581+F588</f>
        <v>498523.4</v>
      </c>
      <c r="G14" s="280">
        <v>498523.4</v>
      </c>
      <c r="H14" s="281">
        <f>G14-F14</f>
        <v>0</v>
      </c>
      <c r="I14" s="282"/>
      <c r="J14" s="281"/>
      <c r="K14" s="282"/>
      <c r="L14" s="282"/>
      <c r="M14" s="282"/>
    </row>
    <row r="15" spans="1:13" s="52" customFormat="1" x14ac:dyDescent="0.2">
      <c r="A15" s="61" t="s">
        <v>485</v>
      </c>
      <c r="B15" s="96" t="s">
        <v>122</v>
      </c>
      <c r="C15" s="94" t="s">
        <v>182</v>
      </c>
      <c r="D15" s="96" t="s">
        <v>183</v>
      </c>
      <c r="E15" s="96" t="s">
        <v>184</v>
      </c>
      <c r="F15" s="138">
        <f>F16+F23+F36+F58+F63+F90+F95</f>
        <v>26930.400000000005</v>
      </c>
      <c r="G15" s="64"/>
      <c r="H15" s="148"/>
      <c r="I15" s="90"/>
      <c r="J15" s="90"/>
      <c r="K15" s="90"/>
      <c r="L15" s="90"/>
      <c r="M15" s="90"/>
    </row>
    <row r="16" spans="1:13" s="52" customFormat="1" ht="21" x14ac:dyDescent="0.2">
      <c r="A16" s="61" t="s">
        <v>486</v>
      </c>
      <c r="B16" s="96" t="s">
        <v>122</v>
      </c>
      <c r="C16" s="94" t="s">
        <v>254</v>
      </c>
      <c r="D16" s="96" t="s">
        <v>183</v>
      </c>
      <c r="E16" s="96" t="s">
        <v>184</v>
      </c>
      <c r="F16" s="138">
        <f>F17</f>
        <v>920.80000000000007</v>
      </c>
      <c r="G16" s="64"/>
      <c r="H16" s="148"/>
      <c r="I16" s="148"/>
      <c r="J16" s="90"/>
      <c r="K16" s="90"/>
      <c r="L16" s="90"/>
      <c r="M16" s="90"/>
    </row>
    <row r="17" spans="1:13" s="52" customFormat="1" ht="15.75" customHeight="1" x14ac:dyDescent="0.2">
      <c r="A17" s="66" t="s">
        <v>487</v>
      </c>
      <c r="B17" s="68" t="s">
        <v>122</v>
      </c>
      <c r="C17" s="67" t="s">
        <v>254</v>
      </c>
      <c r="D17" s="68" t="s">
        <v>488</v>
      </c>
      <c r="E17" s="68" t="s">
        <v>184</v>
      </c>
      <c r="F17" s="131">
        <f>F18</f>
        <v>920.80000000000007</v>
      </c>
      <c r="G17" s="65"/>
      <c r="H17" s="90"/>
      <c r="I17" s="90"/>
      <c r="J17" s="90"/>
      <c r="K17" s="90"/>
      <c r="L17" s="90"/>
      <c r="M17" s="90"/>
    </row>
    <row r="18" spans="1:13" s="52" customFormat="1" ht="24.75" customHeight="1" x14ac:dyDescent="0.2">
      <c r="A18" s="82" t="s">
        <v>230</v>
      </c>
      <c r="B18" s="68" t="s">
        <v>122</v>
      </c>
      <c r="C18" s="67" t="s">
        <v>254</v>
      </c>
      <c r="D18" s="68" t="s">
        <v>489</v>
      </c>
      <c r="E18" s="68"/>
      <c r="F18" s="131">
        <f>F19</f>
        <v>920.80000000000007</v>
      </c>
      <c r="G18" s="65"/>
      <c r="H18" s="90"/>
      <c r="I18" s="90"/>
      <c r="J18" s="90"/>
      <c r="K18" s="90"/>
      <c r="L18" s="90"/>
      <c r="M18" s="90"/>
    </row>
    <row r="19" spans="1:13" s="283" customFormat="1" ht="45" x14ac:dyDescent="0.2">
      <c r="A19" s="66" t="s">
        <v>139</v>
      </c>
      <c r="B19" s="68" t="s">
        <v>122</v>
      </c>
      <c r="C19" s="67" t="s">
        <v>254</v>
      </c>
      <c r="D19" s="68" t="s">
        <v>489</v>
      </c>
      <c r="E19" s="68" t="s">
        <v>140</v>
      </c>
      <c r="F19" s="131">
        <f>F20</f>
        <v>920.80000000000007</v>
      </c>
      <c r="G19" s="65"/>
      <c r="H19" s="282"/>
      <c r="I19" s="282"/>
      <c r="J19" s="282"/>
      <c r="K19" s="282"/>
      <c r="L19" s="282"/>
      <c r="M19" s="282"/>
    </row>
    <row r="20" spans="1:13" s="52" customFormat="1" ht="23.25" customHeight="1" x14ac:dyDescent="0.2">
      <c r="A20" s="66" t="s">
        <v>168</v>
      </c>
      <c r="B20" s="68" t="s">
        <v>122</v>
      </c>
      <c r="C20" s="67" t="s">
        <v>254</v>
      </c>
      <c r="D20" s="68" t="s">
        <v>489</v>
      </c>
      <c r="E20" s="68" t="s">
        <v>232</v>
      </c>
      <c r="F20" s="131">
        <f>F21+F22</f>
        <v>920.80000000000007</v>
      </c>
      <c r="G20" s="65"/>
      <c r="H20" s="90"/>
      <c r="I20" s="90"/>
      <c r="J20" s="90"/>
      <c r="K20" s="90"/>
      <c r="L20" s="90"/>
      <c r="M20" s="90"/>
    </row>
    <row r="21" spans="1:13" s="52" customFormat="1" ht="11.25" customHeight="1" x14ac:dyDescent="0.2">
      <c r="A21" s="69" t="s">
        <v>169</v>
      </c>
      <c r="B21" s="68" t="s">
        <v>122</v>
      </c>
      <c r="C21" s="67" t="s">
        <v>254</v>
      </c>
      <c r="D21" s="68" t="s">
        <v>489</v>
      </c>
      <c r="E21" s="68" t="s">
        <v>233</v>
      </c>
      <c r="F21" s="131">
        <f>'ПР 7 ведом'!G624</f>
        <v>707.2</v>
      </c>
      <c r="G21" s="65"/>
      <c r="H21" s="90"/>
      <c r="I21" s="90"/>
      <c r="J21" s="90"/>
      <c r="K21" s="90"/>
      <c r="L21" s="90"/>
      <c r="M21" s="90"/>
    </row>
    <row r="22" spans="1:13" s="52" customFormat="1" ht="33.75" customHeight="1" x14ac:dyDescent="0.2">
      <c r="A22" s="69" t="s">
        <v>170</v>
      </c>
      <c r="B22" s="68" t="s">
        <v>122</v>
      </c>
      <c r="C22" s="67" t="s">
        <v>254</v>
      </c>
      <c r="D22" s="68" t="s">
        <v>489</v>
      </c>
      <c r="E22" s="68">
        <v>129</v>
      </c>
      <c r="F22" s="131">
        <f>'ПР 7 ведом'!G625</f>
        <v>213.6</v>
      </c>
      <c r="G22" s="65"/>
      <c r="H22" s="90"/>
      <c r="I22" s="90"/>
      <c r="J22" s="90"/>
      <c r="K22" s="90"/>
      <c r="L22" s="90"/>
      <c r="M22" s="90"/>
    </row>
    <row r="23" spans="1:13" s="52" customFormat="1" ht="33.75" customHeight="1" x14ac:dyDescent="0.2">
      <c r="A23" s="61" t="s">
        <v>490</v>
      </c>
      <c r="B23" s="96" t="s">
        <v>122</v>
      </c>
      <c r="C23" s="94" t="s">
        <v>188</v>
      </c>
      <c r="D23" s="96" t="s">
        <v>183</v>
      </c>
      <c r="E23" s="96" t="s">
        <v>184</v>
      </c>
      <c r="F23" s="138">
        <f>F24</f>
        <v>801.59999999999991</v>
      </c>
      <c r="G23" s="64"/>
      <c r="H23" s="148"/>
      <c r="I23" s="90"/>
      <c r="J23" s="90"/>
      <c r="K23" s="90"/>
      <c r="L23" s="90"/>
      <c r="M23" s="90"/>
    </row>
    <row r="24" spans="1:13" s="52" customFormat="1" ht="16.5" customHeight="1" x14ac:dyDescent="0.2">
      <c r="A24" s="66" t="s">
        <v>645</v>
      </c>
      <c r="B24" s="68" t="s">
        <v>122</v>
      </c>
      <c r="C24" s="67" t="s">
        <v>188</v>
      </c>
      <c r="D24" s="68" t="s">
        <v>491</v>
      </c>
      <c r="E24" s="68" t="s">
        <v>184</v>
      </c>
      <c r="F24" s="131">
        <f>F25+F29+F32</f>
        <v>801.59999999999991</v>
      </c>
      <c r="G24" s="65"/>
      <c r="H24" s="90"/>
      <c r="I24" s="90"/>
      <c r="J24" s="90"/>
      <c r="K24" s="90"/>
      <c r="L24" s="90"/>
      <c r="M24" s="90"/>
    </row>
    <row r="25" spans="1:13" s="52" customFormat="1" ht="45" x14ac:dyDescent="0.2">
      <c r="A25" s="66" t="s">
        <v>139</v>
      </c>
      <c r="B25" s="68" t="s">
        <v>122</v>
      </c>
      <c r="C25" s="67" t="s">
        <v>188</v>
      </c>
      <c r="D25" s="68" t="s">
        <v>492</v>
      </c>
      <c r="E25" s="68" t="s">
        <v>140</v>
      </c>
      <c r="F25" s="131">
        <f>F26</f>
        <v>701.59999999999991</v>
      </c>
      <c r="G25" s="65"/>
      <c r="H25" s="90"/>
      <c r="I25" s="90"/>
      <c r="J25" s="90"/>
      <c r="K25" s="90"/>
      <c r="L25" s="90"/>
      <c r="M25" s="90"/>
    </row>
    <row r="26" spans="1:13" s="52" customFormat="1" ht="21.75" customHeight="1" x14ac:dyDescent="0.2">
      <c r="A26" s="66" t="s">
        <v>168</v>
      </c>
      <c r="B26" s="68" t="s">
        <v>122</v>
      </c>
      <c r="C26" s="67" t="s">
        <v>188</v>
      </c>
      <c r="D26" s="68" t="s">
        <v>492</v>
      </c>
      <c r="E26" s="68" t="s">
        <v>232</v>
      </c>
      <c r="F26" s="131">
        <f>F27+F28</f>
        <v>701.59999999999991</v>
      </c>
      <c r="G26" s="65"/>
      <c r="H26" s="90"/>
      <c r="I26" s="90"/>
      <c r="J26" s="90"/>
      <c r="K26" s="90"/>
      <c r="L26" s="90"/>
      <c r="M26" s="90"/>
    </row>
    <row r="27" spans="1:13" s="52" customFormat="1" ht="14.25" customHeight="1" x14ac:dyDescent="0.2">
      <c r="A27" s="69" t="s">
        <v>169</v>
      </c>
      <c r="B27" s="68" t="s">
        <v>122</v>
      </c>
      <c r="C27" s="67" t="s">
        <v>188</v>
      </c>
      <c r="D27" s="68" t="s">
        <v>492</v>
      </c>
      <c r="E27" s="68" t="s">
        <v>233</v>
      </c>
      <c r="F27" s="131">
        <f>'ПР 7 ведом'!G630</f>
        <v>538.9</v>
      </c>
      <c r="G27" s="65"/>
      <c r="H27" s="90"/>
      <c r="I27" s="90"/>
      <c r="J27" s="90"/>
      <c r="K27" s="90"/>
      <c r="L27" s="90"/>
      <c r="M27" s="90"/>
    </row>
    <row r="28" spans="1:13" s="52" customFormat="1" ht="36" customHeight="1" x14ac:dyDescent="0.2">
      <c r="A28" s="69" t="s">
        <v>170</v>
      </c>
      <c r="B28" s="68" t="s">
        <v>122</v>
      </c>
      <c r="C28" s="67" t="s">
        <v>188</v>
      </c>
      <c r="D28" s="68" t="s">
        <v>492</v>
      </c>
      <c r="E28" s="68">
        <v>129</v>
      </c>
      <c r="F28" s="131">
        <f>'ПР 7 ведом'!G631</f>
        <v>162.69999999999999</v>
      </c>
      <c r="G28" s="65"/>
      <c r="H28" s="90"/>
      <c r="I28" s="90"/>
      <c r="J28" s="90"/>
      <c r="K28" s="90"/>
      <c r="L28" s="90"/>
      <c r="M28" s="90"/>
    </row>
    <row r="29" spans="1:13" s="52" customFormat="1" ht="18" customHeight="1" x14ac:dyDescent="0.2">
      <c r="A29" s="83" t="s">
        <v>139</v>
      </c>
      <c r="B29" s="84" t="s">
        <v>122</v>
      </c>
      <c r="C29" s="87" t="s">
        <v>188</v>
      </c>
      <c r="D29" s="84" t="s">
        <v>493</v>
      </c>
      <c r="E29" s="84">
        <v>100</v>
      </c>
      <c r="F29" s="131">
        <f>F30</f>
        <v>18.399999999999999</v>
      </c>
      <c r="G29" s="65"/>
      <c r="H29" s="90"/>
      <c r="I29" s="90"/>
      <c r="J29" s="90"/>
      <c r="K29" s="90"/>
      <c r="L29" s="90"/>
      <c r="M29" s="90"/>
    </row>
    <row r="30" spans="1:13" s="52" customFormat="1" ht="15.75" customHeight="1" x14ac:dyDescent="0.2">
      <c r="A30" s="83" t="s">
        <v>168</v>
      </c>
      <c r="B30" s="84" t="s">
        <v>122</v>
      </c>
      <c r="C30" s="87" t="s">
        <v>188</v>
      </c>
      <c r="D30" s="84" t="s">
        <v>493</v>
      </c>
      <c r="E30" s="84">
        <v>120</v>
      </c>
      <c r="F30" s="131">
        <f>F31</f>
        <v>18.399999999999999</v>
      </c>
      <c r="G30" s="65"/>
      <c r="H30" s="90"/>
      <c r="I30" s="90"/>
      <c r="J30" s="90"/>
      <c r="K30" s="90"/>
      <c r="L30" s="90"/>
      <c r="M30" s="90"/>
    </row>
    <row r="31" spans="1:13" s="52" customFormat="1" ht="21.75" customHeight="1" x14ac:dyDescent="0.2">
      <c r="A31" s="69" t="s">
        <v>293</v>
      </c>
      <c r="B31" s="68" t="s">
        <v>122</v>
      </c>
      <c r="C31" s="67" t="s">
        <v>188</v>
      </c>
      <c r="D31" s="68" t="s">
        <v>493</v>
      </c>
      <c r="E31" s="68" t="s">
        <v>295</v>
      </c>
      <c r="F31" s="131">
        <f>'ПР 7 ведом'!G634</f>
        <v>18.399999999999999</v>
      </c>
      <c r="G31" s="65"/>
      <c r="H31" s="90"/>
      <c r="I31" s="90"/>
      <c r="J31" s="90"/>
      <c r="K31" s="90"/>
      <c r="L31" s="90"/>
      <c r="M31" s="90"/>
    </row>
    <row r="32" spans="1:13" s="52" customFormat="1" ht="21.75" customHeight="1" x14ac:dyDescent="0.2">
      <c r="A32" s="66" t="s">
        <v>149</v>
      </c>
      <c r="B32" s="68" t="s">
        <v>122</v>
      </c>
      <c r="C32" s="67" t="s">
        <v>188</v>
      </c>
      <c r="D32" s="68" t="s">
        <v>493</v>
      </c>
      <c r="E32" s="68" t="s">
        <v>150</v>
      </c>
      <c r="F32" s="131">
        <f>F33</f>
        <v>81.599999999999994</v>
      </c>
      <c r="G32" s="65"/>
      <c r="H32" s="90"/>
      <c r="I32" s="90"/>
      <c r="J32" s="90"/>
      <c r="K32" s="90"/>
      <c r="L32" s="90"/>
      <c r="M32" s="90"/>
    </row>
    <row r="33" spans="1:13" s="52" customFormat="1" ht="27" customHeight="1" x14ac:dyDescent="0.2">
      <c r="A33" s="83" t="s">
        <v>151</v>
      </c>
      <c r="B33" s="68" t="s">
        <v>122</v>
      </c>
      <c r="C33" s="67" t="s">
        <v>188</v>
      </c>
      <c r="D33" s="68" t="s">
        <v>493</v>
      </c>
      <c r="E33" s="68">
        <v>240</v>
      </c>
      <c r="F33" s="131">
        <f>F34+F35</f>
        <v>81.599999999999994</v>
      </c>
      <c r="G33" s="65"/>
      <c r="H33" s="90"/>
      <c r="I33" s="90"/>
      <c r="J33" s="90"/>
      <c r="K33" s="90"/>
      <c r="L33" s="90"/>
      <c r="M33" s="90"/>
    </row>
    <row r="34" spans="1:13" s="52" customFormat="1" ht="27" customHeight="1" x14ac:dyDescent="0.2">
      <c r="A34" s="115" t="s">
        <v>171</v>
      </c>
      <c r="B34" s="68" t="s">
        <v>122</v>
      </c>
      <c r="C34" s="67" t="s">
        <v>188</v>
      </c>
      <c r="D34" s="68" t="s">
        <v>493</v>
      </c>
      <c r="E34" s="68">
        <v>242</v>
      </c>
      <c r="F34" s="131">
        <f>'ПР 7 ведом'!G637</f>
        <v>24.8</v>
      </c>
      <c r="G34" s="65"/>
      <c r="H34" s="90"/>
      <c r="I34" s="90"/>
      <c r="J34" s="90"/>
      <c r="K34" s="90"/>
      <c r="L34" s="90"/>
      <c r="M34" s="90"/>
    </row>
    <row r="35" spans="1:13" s="52" customFormat="1" ht="27" customHeight="1" x14ac:dyDescent="0.2">
      <c r="A35" s="115" t="s">
        <v>153</v>
      </c>
      <c r="B35" s="68" t="s">
        <v>122</v>
      </c>
      <c r="C35" s="67" t="s">
        <v>188</v>
      </c>
      <c r="D35" s="68" t="s">
        <v>493</v>
      </c>
      <c r="E35" s="68" t="s">
        <v>154</v>
      </c>
      <c r="F35" s="131">
        <f>'ПР 7 ведом'!G638</f>
        <v>56.8</v>
      </c>
      <c r="G35" s="65"/>
      <c r="H35" s="90"/>
      <c r="I35" s="90"/>
      <c r="J35" s="90"/>
      <c r="K35" s="90"/>
      <c r="L35" s="90"/>
      <c r="M35" s="90"/>
    </row>
    <row r="36" spans="1:13" s="52" customFormat="1" ht="31.5" x14ac:dyDescent="0.2">
      <c r="A36" s="61" t="s">
        <v>375</v>
      </c>
      <c r="B36" s="96" t="s">
        <v>122</v>
      </c>
      <c r="C36" s="94" t="s">
        <v>160</v>
      </c>
      <c r="D36" s="96"/>
      <c r="E36" s="96"/>
      <c r="F36" s="138">
        <f>F42+F37</f>
        <v>18166.7</v>
      </c>
      <c r="G36" s="64"/>
      <c r="H36" s="148"/>
      <c r="I36" s="90"/>
      <c r="J36" s="90"/>
      <c r="K36" s="90"/>
      <c r="L36" s="90"/>
      <c r="M36" s="90"/>
    </row>
    <row r="37" spans="1:13" s="52" customFormat="1" ht="12" customHeight="1" x14ac:dyDescent="0.2">
      <c r="A37" s="69" t="s">
        <v>376</v>
      </c>
      <c r="B37" s="68" t="s">
        <v>122</v>
      </c>
      <c r="C37" s="67" t="s">
        <v>160</v>
      </c>
      <c r="D37" s="68" t="s">
        <v>377</v>
      </c>
      <c r="E37" s="68" t="s">
        <v>184</v>
      </c>
      <c r="F37" s="131">
        <f>F38</f>
        <v>887.8</v>
      </c>
      <c r="G37" s="65"/>
      <c r="H37" s="90"/>
      <c r="I37" s="90"/>
      <c r="J37" s="90"/>
      <c r="K37" s="90"/>
      <c r="L37" s="90"/>
      <c r="M37" s="90"/>
    </row>
    <row r="38" spans="1:13" s="52" customFormat="1" ht="45" x14ac:dyDescent="0.2">
      <c r="A38" s="66" t="s">
        <v>139</v>
      </c>
      <c r="B38" s="68" t="s">
        <v>122</v>
      </c>
      <c r="C38" s="67" t="s">
        <v>160</v>
      </c>
      <c r="D38" s="68" t="s">
        <v>378</v>
      </c>
      <c r="E38" s="68" t="s">
        <v>140</v>
      </c>
      <c r="F38" s="131">
        <f>SUM(F39)</f>
        <v>887.8</v>
      </c>
      <c r="G38" s="65"/>
      <c r="H38" s="90"/>
      <c r="I38" s="90"/>
      <c r="J38" s="90"/>
      <c r="K38" s="90"/>
      <c r="L38" s="90"/>
      <c r="M38" s="90"/>
    </row>
    <row r="39" spans="1:13" s="52" customFormat="1" ht="24" customHeight="1" x14ac:dyDescent="0.2">
      <c r="A39" s="66" t="s">
        <v>168</v>
      </c>
      <c r="B39" s="68" t="s">
        <v>122</v>
      </c>
      <c r="C39" s="67" t="s">
        <v>160</v>
      </c>
      <c r="D39" s="68" t="s">
        <v>378</v>
      </c>
      <c r="E39" s="68" t="s">
        <v>232</v>
      </c>
      <c r="F39" s="131">
        <f>SUM(F40:F41)</f>
        <v>887.8</v>
      </c>
      <c r="G39" s="65"/>
      <c r="H39" s="90"/>
      <c r="I39" s="90"/>
      <c r="J39" s="90"/>
      <c r="K39" s="90"/>
      <c r="L39" s="90"/>
      <c r="M39" s="90"/>
    </row>
    <row r="40" spans="1:13" s="52" customFormat="1" ht="15" customHeight="1" x14ac:dyDescent="0.2">
      <c r="A40" s="69" t="s">
        <v>169</v>
      </c>
      <c r="B40" s="68" t="s">
        <v>122</v>
      </c>
      <c r="C40" s="67" t="s">
        <v>160</v>
      </c>
      <c r="D40" s="68" t="s">
        <v>378</v>
      </c>
      <c r="E40" s="68" t="s">
        <v>233</v>
      </c>
      <c r="F40" s="131">
        <f>'ПР 7 ведом'!G416</f>
        <v>681.9</v>
      </c>
      <c r="G40" s="65"/>
      <c r="H40" s="90"/>
      <c r="I40" s="90"/>
      <c r="J40" s="90"/>
      <c r="K40" s="90"/>
      <c r="L40" s="90"/>
      <c r="M40" s="90"/>
    </row>
    <row r="41" spans="1:13" s="52" customFormat="1" ht="31.5" customHeight="1" x14ac:dyDescent="0.2">
      <c r="A41" s="69" t="s">
        <v>170</v>
      </c>
      <c r="B41" s="68" t="s">
        <v>122</v>
      </c>
      <c r="C41" s="67" t="s">
        <v>160</v>
      </c>
      <c r="D41" s="68" t="s">
        <v>378</v>
      </c>
      <c r="E41" s="68">
        <v>129</v>
      </c>
      <c r="F41" s="131">
        <f>'ПР 7 ведом'!G417</f>
        <v>205.9</v>
      </c>
      <c r="G41" s="65"/>
      <c r="H41" s="90"/>
      <c r="I41" s="90"/>
      <c r="J41" s="90"/>
      <c r="K41" s="90"/>
      <c r="L41" s="90"/>
      <c r="M41" s="90"/>
    </row>
    <row r="42" spans="1:13" s="283" customFormat="1" ht="22.5" customHeight="1" x14ac:dyDescent="0.2">
      <c r="A42" s="66" t="s">
        <v>379</v>
      </c>
      <c r="B42" s="68" t="s">
        <v>122</v>
      </c>
      <c r="C42" s="67" t="s">
        <v>160</v>
      </c>
      <c r="D42" s="68" t="s">
        <v>380</v>
      </c>
      <c r="E42" s="68" t="s">
        <v>184</v>
      </c>
      <c r="F42" s="131">
        <f>F43+F47+F49+F53</f>
        <v>17278.900000000001</v>
      </c>
      <c r="G42" s="65"/>
      <c r="H42" s="282"/>
      <c r="I42" s="282"/>
      <c r="J42" s="282"/>
      <c r="K42" s="282"/>
      <c r="L42" s="282"/>
      <c r="M42" s="282"/>
    </row>
    <row r="43" spans="1:13" s="52" customFormat="1" ht="45" x14ac:dyDescent="0.2">
      <c r="A43" s="66" t="s">
        <v>139</v>
      </c>
      <c r="B43" s="68" t="s">
        <v>122</v>
      </c>
      <c r="C43" s="67" t="s">
        <v>160</v>
      </c>
      <c r="D43" s="68" t="s">
        <v>381</v>
      </c>
      <c r="E43" s="68" t="s">
        <v>140</v>
      </c>
      <c r="F43" s="131">
        <f>F44</f>
        <v>13769.2</v>
      </c>
      <c r="G43" s="65"/>
      <c r="H43" s="90"/>
      <c r="I43" s="90"/>
      <c r="J43" s="90"/>
      <c r="K43" s="90"/>
      <c r="L43" s="90"/>
      <c r="M43" s="90"/>
    </row>
    <row r="44" spans="1:13" s="52" customFormat="1" ht="20.25" customHeight="1" x14ac:dyDescent="0.2">
      <c r="A44" s="66" t="s">
        <v>168</v>
      </c>
      <c r="B44" s="68" t="s">
        <v>122</v>
      </c>
      <c r="C44" s="67" t="s">
        <v>160</v>
      </c>
      <c r="D44" s="68" t="s">
        <v>381</v>
      </c>
      <c r="E44" s="68" t="s">
        <v>232</v>
      </c>
      <c r="F44" s="131">
        <f>F45+F46</f>
        <v>13769.2</v>
      </c>
      <c r="G44" s="65"/>
      <c r="H44" s="90"/>
      <c r="I44" s="90"/>
      <c r="J44" s="90"/>
      <c r="K44" s="90"/>
      <c r="L44" s="90"/>
      <c r="M44" s="90"/>
    </row>
    <row r="45" spans="1:13" s="52" customFormat="1" ht="12.75" customHeight="1" x14ac:dyDescent="0.2">
      <c r="A45" s="69" t="s">
        <v>169</v>
      </c>
      <c r="B45" s="68" t="s">
        <v>122</v>
      </c>
      <c r="C45" s="67" t="s">
        <v>160</v>
      </c>
      <c r="D45" s="68" t="s">
        <v>381</v>
      </c>
      <c r="E45" s="68" t="s">
        <v>233</v>
      </c>
      <c r="F45" s="131">
        <f>'ПР 7 ведом'!G421</f>
        <v>10575.6</v>
      </c>
      <c r="G45" s="65"/>
      <c r="H45" s="90"/>
      <c r="I45" s="90"/>
      <c r="J45" s="90"/>
      <c r="K45" s="90"/>
      <c r="L45" s="90"/>
      <c r="M45" s="90"/>
    </row>
    <row r="46" spans="1:13" s="52" customFormat="1" ht="33" customHeight="1" x14ac:dyDescent="0.2">
      <c r="A46" s="69" t="s">
        <v>170</v>
      </c>
      <c r="B46" s="68" t="s">
        <v>122</v>
      </c>
      <c r="C46" s="67" t="s">
        <v>160</v>
      </c>
      <c r="D46" s="68" t="s">
        <v>381</v>
      </c>
      <c r="E46" s="68">
        <v>129</v>
      </c>
      <c r="F46" s="131">
        <f>'ПР 7 ведом'!G422</f>
        <v>3193.6</v>
      </c>
      <c r="G46" s="65"/>
      <c r="H46" s="90"/>
      <c r="I46" s="90"/>
      <c r="J46" s="90"/>
      <c r="K46" s="90"/>
      <c r="L46" s="90"/>
      <c r="M46" s="90"/>
    </row>
    <row r="47" spans="1:13" s="52" customFormat="1" ht="15" customHeight="1" x14ac:dyDescent="0.2">
      <c r="A47" s="83" t="s">
        <v>168</v>
      </c>
      <c r="B47" s="84" t="s">
        <v>122</v>
      </c>
      <c r="C47" s="87" t="s">
        <v>160</v>
      </c>
      <c r="D47" s="84" t="s">
        <v>382</v>
      </c>
      <c r="E47" s="84">
        <v>120</v>
      </c>
      <c r="F47" s="131">
        <f>F48</f>
        <v>209.1</v>
      </c>
      <c r="G47" s="65"/>
      <c r="H47" s="90"/>
      <c r="I47" s="90"/>
      <c r="J47" s="90"/>
      <c r="K47" s="90"/>
      <c r="L47" s="90"/>
      <c r="M47" s="90"/>
    </row>
    <row r="48" spans="1:13" s="52" customFormat="1" ht="15" customHeight="1" x14ac:dyDescent="0.2">
      <c r="A48" s="114" t="s">
        <v>293</v>
      </c>
      <c r="B48" s="84" t="s">
        <v>122</v>
      </c>
      <c r="C48" s="87" t="s">
        <v>160</v>
      </c>
      <c r="D48" s="84" t="s">
        <v>382</v>
      </c>
      <c r="E48" s="84">
        <v>122</v>
      </c>
      <c r="F48" s="131">
        <f>'ПР 7 ведом'!G425</f>
        <v>209.1</v>
      </c>
      <c r="G48" s="65"/>
      <c r="H48" s="90"/>
      <c r="I48" s="90"/>
      <c r="J48" s="90"/>
      <c r="K48" s="90"/>
      <c r="L48" s="90"/>
      <c r="M48" s="90"/>
    </row>
    <row r="49" spans="1:13" s="52" customFormat="1" ht="21.75" customHeight="1" x14ac:dyDescent="0.2">
      <c r="A49" s="66" t="s">
        <v>149</v>
      </c>
      <c r="B49" s="68" t="s">
        <v>122</v>
      </c>
      <c r="C49" s="67" t="s">
        <v>160</v>
      </c>
      <c r="D49" s="68" t="s">
        <v>382</v>
      </c>
      <c r="E49" s="68" t="s">
        <v>150</v>
      </c>
      <c r="F49" s="131">
        <f>F50</f>
        <v>3150.6000000000004</v>
      </c>
      <c r="G49" s="65"/>
      <c r="H49" s="90"/>
      <c r="I49" s="90"/>
      <c r="J49" s="90"/>
      <c r="K49" s="90"/>
      <c r="L49" s="90"/>
      <c r="M49" s="90"/>
    </row>
    <row r="50" spans="1:13" s="52" customFormat="1" ht="21.75" customHeight="1" x14ac:dyDescent="0.2">
      <c r="A50" s="66" t="s">
        <v>151</v>
      </c>
      <c r="B50" s="68" t="s">
        <v>122</v>
      </c>
      <c r="C50" s="67" t="s">
        <v>160</v>
      </c>
      <c r="D50" s="68" t="s">
        <v>382</v>
      </c>
      <c r="E50" s="68" t="s">
        <v>152</v>
      </c>
      <c r="F50" s="131">
        <f>F52+F51</f>
        <v>3150.6000000000004</v>
      </c>
      <c r="G50" s="65"/>
      <c r="H50" s="90"/>
      <c r="I50" s="90"/>
      <c r="J50" s="90"/>
      <c r="K50" s="90"/>
      <c r="L50" s="90"/>
      <c r="M50" s="90"/>
    </row>
    <row r="51" spans="1:13" s="52" customFormat="1" ht="21.75" customHeight="1" x14ac:dyDescent="0.2">
      <c r="A51" s="70" t="s">
        <v>171</v>
      </c>
      <c r="B51" s="68" t="s">
        <v>122</v>
      </c>
      <c r="C51" s="67" t="s">
        <v>160</v>
      </c>
      <c r="D51" s="68" t="s">
        <v>382</v>
      </c>
      <c r="E51" s="68">
        <v>242</v>
      </c>
      <c r="F51" s="131">
        <f>'ПР 7 ведом'!G428</f>
        <v>302.3</v>
      </c>
      <c r="G51" s="65"/>
      <c r="H51" s="90"/>
      <c r="I51" s="90"/>
      <c r="J51" s="90"/>
      <c r="K51" s="90"/>
      <c r="L51" s="90"/>
      <c r="M51" s="90"/>
    </row>
    <row r="52" spans="1:13" s="52" customFormat="1" ht="21.75" customHeight="1" x14ac:dyDescent="0.2">
      <c r="A52" s="70" t="s">
        <v>153</v>
      </c>
      <c r="B52" s="68" t="s">
        <v>122</v>
      </c>
      <c r="C52" s="67" t="s">
        <v>160</v>
      </c>
      <c r="D52" s="68" t="s">
        <v>382</v>
      </c>
      <c r="E52" s="68" t="s">
        <v>154</v>
      </c>
      <c r="F52" s="131">
        <f>'ПР 7 ведом'!G429</f>
        <v>2848.3</v>
      </c>
      <c r="G52" s="65"/>
      <c r="H52" s="90"/>
      <c r="I52" s="90"/>
      <c r="J52" s="90"/>
      <c r="K52" s="90"/>
      <c r="L52" s="90"/>
      <c r="M52" s="90"/>
    </row>
    <row r="53" spans="1:13" s="52" customFormat="1" ht="13.5" customHeight="1" x14ac:dyDescent="0.2">
      <c r="A53" s="70" t="s">
        <v>172</v>
      </c>
      <c r="B53" s="68" t="s">
        <v>122</v>
      </c>
      <c r="C53" s="67" t="s">
        <v>160</v>
      </c>
      <c r="D53" s="68" t="s">
        <v>382</v>
      </c>
      <c r="E53" s="68" t="s">
        <v>235</v>
      </c>
      <c r="F53" s="131">
        <f>F54</f>
        <v>150</v>
      </c>
      <c r="G53" s="65"/>
      <c r="H53" s="90"/>
      <c r="I53" s="90"/>
      <c r="J53" s="90"/>
      <c r="K53" s="90"/>
      <c r="L53" s="90"/>
      <c r="M53" s="90"/>
    </row>
    <row r="54" spans="1:13" s="52" customFormat="1" ht="24.75" customHeight="1" x14ac:dyDescent="0.2">
      <c r="A54" s="70" t="s">
        <v>173</v>
      </c>
      <c r="B54" s="68" t="s">
        <v>122</v>
      </c>
      <c r="C54" s="67" t="s">
        <v>160</v>
      </c>
      <c r="D54" s="68" t="s">
        <v>382</v>
      </c>
      <c r="E54" s="68" t="s">
        <v>174</v>
      </c>
      <c r="F54" s="131">
        <f>F55+F56+F57</f>
        <v>150</v>
      </c>
      <c r="G54" s="65"/>
      <c r="H54" s="90"/>
      <c r="I54" s="90"/>
      <c r="J54" s="90"/>
      <c r="K54" s="90"/>
      <c r="L54" s="90"/>
      <c r="M54" s="90"/>
    </row>
    <row r="55" spans="1:13" s="283" customFormat="1" ht="17.25" customHeight="1" x14ac:dyDescent="0.2">
      <c r="A55" s="75" t="s">
        <v>175</v>
      </c>
      <c r="B55" s="68" t="s">
        <v>122</v>
      </c>
      <c r="C55" s="67" t="s">
        <v>160</v>
      </c>
      <c r="D55" s="68" t="s">
        <v>382</v>
      </c>
      <c r="E55" s="68" t="s">
        <v>176</v>
      </c>
      <c r="F55" s="131">
        <f>'ПР 7 ведом'!G432</f>
        <v>14.4</v>
      </c>
      <c r="G55" s="65"/>
      <c r="H55" s="282"/>
      <c r="I55" s="282"/>
      <c r="J55" s="282"/>
      <c r="K55" s="282"/>
      <c r="L55" s="282"/>
      <c r="M55" s="282"/>
    </row>
    <row r="56" spans="1:13" s="283" customFormat="1" ht="17.25" customHeight="1" x14ac:dyDescent="0.2">
      <c r="A56" s="70" t="s">
        <v>236</v>
      </c>
      <c r="B56" s="68" t="s">
        <v>122</v>
      </c>
      <c r="C56" s="67" t="s">
        <v>160</v>
      </c>
      <c r="D56" s="68" t="s">
        <v>382</v>
      </c>
      <c r="E56" s="68">
        <v>852</v>
      </c>
      <c r="F56" s="131">
        <f>'ПР 7 ведом'!G433</f>
        <v>3</v>
      </c>
      <c r="G56" s="65"/>
      <c r="H56" s="282"/>
      <c r="I56" s="282"/>
      <c r="J56" s="282"/>
      <c r="K56" s="282"/>
      <c r="L56" s="282"/>
      <c r="M56" s="282"/>
    </row>
    <row r="57" spans="1:13" s="283" customFormat="1" ht="17.25" customHeight="1" x14ac:dyDescent="0.2">
      <c r="A57" s="115" t="s">
        <v>564</v>
      </c>
      <c r="B57" s="84" t="s">
        <v>122</v>
      </c>
      <c r="C57" s="87" t="s">
        <v>160</v>
      </c>
      <c r="D57" s="84" t="s">
        <v>382</v>
      </c>
      <c r="E57" s="84">
        <v>853</v>
      </c>
      <c r="F57" s="131">
        <f>'ПР 7 ведом'!G434</f>
        <v>132.6</v>
      </c>
      <c r="G57" s="65"/>
      <c r="H57" s="282"/>
      <c r="I57" s="282"/>
      <c r="J57" s="282"/>
      <c r="K57" s="282"/>
      <c r="L57" s="282"/>
      <c r="M57" s="282"/>
    </row>
    <row r="58" spans="1:13" s="283" customFormat="1" ht="17.25" customHeight="1" x14ac:dyDescent="0.2">
      <c r="A58" s="61" t="s">
        <v>569</v>
      </c>
      <c r="B58" s="96" t="s">
        <v>122</v>
      </c>
      <c r="C58" s="94" t="s">
        <v>286</v>
      </c>
      <c r="D58" s="96"/>
      <c r="E58" s="96"/>
      <c r="F58" s="138">
        <f>F59</f>
        <v>204</v>
      </c>
      <c r="G58" s="65"/>
      <c r="H58" s="282"/>
      <c r="I58" s="282"/>
      <c r="J58" s="282"/>
      <c r="K58" s="282"/>
      <c r="L58" s="282"/>
      <c r="M58" s="282"/>
    </row>
    <row r="59" spans="1:13" s="283" customFormat="1" ht="17.25" customHeight="1" x14ac:dyDescent="0.2">
      <c r="A59" s="312" t="s">
        <v>657</v>
      </c>
      <c r="B59" s="306" t="s">
        <v>122</v>
      </c>
      <c r="C59" s="305" t="s">
        <v>286</v>
      </c>
      <c r="D59" s="306" t="s">
        <v>570</v>
      </c>
      <c r="E59" s="306"/>
      <c r="F59" s="131">
        <f>F60</f>
        <v>204</v>
      </c>
      <c r="G59" s="65"/>
      <c r="H59" s="282"/>
      <c r="I59" s="282"/>
      <c r="J59" s="282"/>
      <c r="K59" s="282"/>
      <c r="L59" s="282"/>
      <c r="M59" s="282"/>
    </row>
    <row r="60" spans="1:13" s="283" customFormat="1" ht="17.25" customHeight="1" x14ac:dyDescent="0.2">
      <c r="A60" s="83" t="s">
        <v>650</v>
      </c>
      <c r="B60" s="68" t="s">
        <v>122</v>
      </c>
      <c r="C60" s="67" t="s">
        <v>286</v>
      </c>
      <c r="D60" s="68" t="s">
        <v>570</v>
      </c>
      <c r="E60" s="68" t="s">
        <v>150</v>
      </c>
      <c r="F60" s="131">
        <f>F61</f>
        <v>204</v>
      </c>
      <c r="G60" s="65"/>
      <c r="H60" s="282"/>
      <c r="I60" s="282"/>
      <c r="J60" s="282"/>
      <c r="K60" s="282"/>
      <c r="L60" s="282"/>
      <c r="M60" s="282"/>
    </row>
    <row r="61" spans="1:13" s="283" customFormat="1" ht="17.25" customHeight="1" x14ac:dyDescent="0.2">
      <c r="A61" s="83" t="s">
        <v>151</v>
      </c>
      <c r="B61" s="68" t="s">
        <v>122</v>
      </c>
      <c r="C61" s="67" t="s">
        <v>286</v>
      </c>
      <c r="D61" s="68" t="s">
        <v>570</v>
      </c>
      <c r="E61" s="68" t="s">
        <v>152</v>
      </c>
      <c r="F61" s="131">
        <f>F62</f>
        <v>204</v>
      </c>
      <c r="G61" s="65"/>
      <c r="H61" s="282"/>
      <c r="I61" s="282"/>
      <c r="J61" s="282"/>
      <c r="K61" s="282"/>
      <c r="L61" s="282"/>
      <c r="M61" s="282"/>
    </row>
    <row r="62" spans="1:13" s="283" customFormat="1" ht="17.25" customHeight="1" x14ac:dyDescent="0.2">
      <c r="A62" s="115" t="s">
        <v>153</v>
      </c>
      <c r="B62" s="68" t="s">
        <v>122</v>
      </c>
      <c r="C62" s="67" t="s">
        <v>286</v>
      </c>
      <c r="D62" s="68" t="s">
        <v>570</v>
      </c>
      <c r="E62" s="68" t="s">
        <v>154</v>
      </c>
      <c r="F62" s="131">
        <f>'ПР 7 ведом'!G439</f>
        <v>204</v>
      </c>
      <c r="G62" s="65"/>
      <c r="H62" s="282"/>
      <c r="I62" s="282"/>
      <c r="J62" s="282"/>
      <c r="K62" s="282"/>
      <c r="L62" s="282"/>
      <c r="M62" s="282"/>
    </row>
    <row r="63" spans="1:13" s="52" customFormat="1" ht="31.5" x14ac:dyDescent="0.2">
      <c r="A63" s="61" t="s">
        <v>323</v>
      </c>
      <c r="B63" s="96" t="s">
        <v>122</v>
      </c>
      <c r="C63" s="94" t="s">
        <v>222</v>
      </c>
      <c r="D63" s="96" t="s">
        <v>183</v>
      </c>
      <c r="E63" s="96" t="s">
        <v>184</v>
      </c>
      <c r="F63" s="138">
        <f>F64+F80</f>
        <v>6113.4000000000005</v>
      </c>
      <c r="G63" s="64"/>
      <c r="H63" s="148"/>
      <c r="I63" s="90"/>
      <c r="J63" s="90"/>
      <c r="K63" s="90"/>
      <c r="L63" s="90"/>
      <c r="M63" s="90"/>
    </row>
    <row r="64" spans="1:13" s="52" customFormat="1" ht="34.5" customHeight="1" x14ac:dyDescent="0.2">
      <c r="A64" s="61" t="s">
        <v>324</v>
      </c>
      <c r="B64" s="96" t="s">
        <v>122</v>
      </c>
      <c r="C64" s="94" t="s">
        <v>222</v>
      </c>
      <c r="D64" s="96" t="s">
        <v>325</v>
      </c>
      <c r="E64" s="96" t="s">
        <v>184</v>
      </c>
      <c r="F64" s="138">
        <f>F65</f>
        <v>4606.1000000000004</v>
      </c>
      <c r="G64" s="65"/>
      <c r="H64" s="90"/>
      <c r="I64" s="90"/>
      <c r="J64" s="90"/>
      <c r="K64" s="90"/>
      <c r="L64" s="90"/>
      <c r="M64" s="90"/>
    </row>
    <row r="65" spans="1:13" s="52" customFormat="1" ht="45" x14ac:dyDescent="0.2">
      <c r="A65" s="66" t="s">
        <v>326</v>
      </c>
      <c r="B65" s="68" t="s">
        <v>122</v>
      </c>
      <c r="C65" s="67" t="s">
        <v>222</v>
      </c>
      <c r="D65" s="68" t="s">
        <v>327</v>
      </c>
      <c r="E65" s="68" t="s">
        <v>184</v>
      </c>
      <c r="F65" s="131">
        <f>F66</f>
        <v>4606.1000000000004</v>
      </c>
      <c r="G65" s="65"/>
      <c r="H65" s="90"/>
      <c r="I65" s="90"/>
      <c r="J65" s="90"/>
      <c r="K65" s="90"/>
      <c r="L65" s="90"/>
      <c r="M65" s="90"/>
    </row>
    <row r="66" spans="1:13" s="283" customFormat="1" ht="27.75" customHeight="1" x14ac:dyDescent="0.2">
      <c r="A66" s="66" t="s">
        <v>328</v>
      </c>
      <c r="B66" s="68" t="s">
        <v>122</v>
      </c>
      <c r="C66" s="67" t="s">
        <v>222</v>
      </c>
      <c r="D66" s="68" t="s">
        <v>329</v>
      </c>
      <c r="E66" s="68"/>
      <c r="F66" s="131">
        <f>F67+F71+F72+F76</f>
        <v>4606.1000000000004</v>
      </c>
      <c r="G66" s="65"/>
      <c r="H66" s="282"/>
      <c r="I66" s="282"/>
      <c r="J66" s="282"/>
      <c r="K66" s="282"/>
      <c r="L66" s="282"/>
      <c r="M66" s="282"/>
    </row>
    <row r="67" spans="1:13" s="283" customFormat="1" ht="45" x14ac:dyDescent="0.2">
      <c r="A67" s="66" t="s">
        <v>139</v>
      </c>
      <c r="B67" s="68" t="s">
        <v>122</v>
      </c>
      <c r="C67" s="67" t="s">
        <v>222</v>
      </c>
      <c r="D67" s="68" t="s">
        <v>330</v>
      </c>
      <c r="E67" s="68" t="s">
        <v>140</v>
      </c>
      <c r="F67" s="131">
        <f>F68</f>
        <v>3804.3</v>
      </c>
      <c r="G67" s="65"/>
      <c r="H67" s="282"/>
      <c r="I67" s="282"/>
      <c r="J67" s="282"/>
      <c r="K67" s="282"/>
      <c r="L67" s="282"/>
      <c r="M67" s="282"/>
    </row>
    <row r="68" spans="1:13" s="52" customFormat="1" ht="23.25" customHeight="1" x14ac:dyDescent="0.2">
      <c r="A68" s="66" t="s">
        <v>168</v>
      </c>
      <c r="B68" s="68" t="s">
        <v>122</v>
      </c>
      <c r="C68" s="67" t="s">
        <v>222</v>
      </c>
      <c r="D68" s="68" t="s">
        <v>331</v>
      </c>
      <c r="E68" s="68" t="s">
        <v>232</v>
      </c>
      <c r="F68" s="131">
        <f>F69+F70</f>
        <v>3804.3</v>
      </c>
      <c r="G68" s="65"/>
      <c r="H68" s="90"/>
      <c r="I68" s="90"/>
      <c r="J68" s="90"/>
      <c r="K68" s="90"/>
      <c r="L68" s="90"/>
      <c r="M68" s="90"/>
    </row>
    <row r="69" spans="1:13" s="52" customFormat="1" ht="16.5" customHeight="1" x14ac:dyDescent="0.2">
      <c r="A69" s="69" t="s">
        <v>169</v>
      </c>
      <c r="B69" s="68" t="s">
        <v>122</v>
      </c>
      <c r="C69" s="67" t="s">
        <v>222</v>
      </c>
      <c r="D69" s="68" t="s">
        <v>331</v>
      </c>
      <c r="E69" s="68" t="s">
        <v>233</v>
      </c>
      <c r="F69" s="131">
        <f>'ПР 7 ведом'!G361</f>
        <v>2922</v>
      </c>
      <c r="G69" s="65"/>
      <c r="H69" s="90"/>
      <c r="I69" s="90"/>
      <c r="J69" s="90"/>
      <c r="K69" s="90"/>
      <c r="L69" s="90"/>
      <c r="M69" s="90"/>
    </row>
    <row r="70" spans="1:13" s="52" customFormat="1" ht="31.5" customHeight="1" x14ac:dyDescent="0.2">
      <c r="A70" s="69" t="s">
        <v>170</v>
      </c>
      <c r="B70" s="68" t="s">
        <v>122</v>
      </c>
      <c r="C70" s="67" t="s">
        <v>222</v>
      </c>
      <c r="D70" s="68" t="s">
        <v>331</v>
      </c>
      <c r="E70" s="68">
        <v>129</v>
      </c>
      <c r="F70" s="131">
        <f>'ПР 7 ведом'!G362</f>
        <v>882.3</v>
      </c>
      <c r="G70" s="65"/>
      <c r="H70" s="90"/>
      <c r="I70" s="90"/>
      <c r="J70" s="90"/>
      <c r="K70" s="90"/>
      <c r="L70" s="90"/>
      <c r="M70" s="90"/>
    </row>
    <row r="71" spans="1:13" s="52" customFormat="1" ht="24" customHeight="1" x14ac:dyDescent="0.2">
      <c r="A71" s="69" t="s">
        <v>293</v>
      </c>
      <c r="B71" s="68" t="s">
        <v>122</v>
      </c>
      <c r="C71" s="67" t="s">
        <v>222</v>
      </c>
      <c r="D71" s="68" t="s">
        <v>332</v>
      </c>
      <c r="E71" s="68" t="s">
        <v>295</v>
      </c>
      <c r="F71" s="131">
        <f>'ПР 7 ведом'!G365</f>
        <v>35.299999999999997</v>
      </c>
      <c r="G71" s="65"/>
      <c r="H71" s="90"/>
      <c r="I71" s="90"/>
      <c r="J71" s="90"/>
      <c r="K71" s="90"/>
      <c r="L71" s="90"/>
      <c r="M71" s="90"/>
    </row>
    <row r="72" spans="1:13" s="52" customFormat="1" ht="24" customHeight="1" x14ac:dyDescent="0.2">
      <c r="A72" s="66" t="s">
        <v>149</v>
      </c>
      <c r="B72" s="68" t="s">
        <v>122</v>
      </c>
      <c r="C72" s="67" t="s">
        <v>222</v>
      </c>
      <c r="D72" s="68" t="s">
        <v>332</v>
      </c>
      <c r="E72" s="68" t="s">
        <v>150</v>
      </c>
      <c r="F72" s="131">
        <f>F73</f>
        <v>762.9</v>
      </c>
      <c r="G72" s="65"/>
      <c r="H72" s="90"/>
      <c r="I72" s="90"/>
      <c r="J72" s="90"/>
      <c r="K72" s="90"/>
      <c r="L72" s="90"/>
      <c r="M72" s="90"/>
    </row>
    <row r="73" spans="1:13" s="52" customFormat="1" ht="21" customHeight="1" x14ac:dyDescent="0.2">
      <c r="A73" s="66" t="s">
        <v>151</v>
      </c>
      <c r="B73" s="68" t="s">
        <v>122</v>
      </c>
      <c r="C73" s="67" t="s">
        <v>222</v>
      </c>
      <c r="D73" s="68" t="s">
        <v>332</v>
      </c>
      <c r="E73" s="68" t="s">
        <v>152</v>
      </c>
      <c r="F73" s="131">
        <f>F75+F74</f>
        <v>762.9</v>
      </c>
      <c r="G73" s="65"/>
      <c r="H73" s="90"/>
      <c r="I73" s="90"/>
      <c r="J73" s="90"/>
      <c r="K73" s="90"/>
      <c r="L73" s="90"/>
      <c r="M73" s="90"/>
    </row>
    <row r="74" spans="1:13" s="52" customFormat="1" ht="21" customHeight="1" x14ac:dyDescent="0.2">
      <c r="A74" s="70" t="s">
        <v>171</v>
      </c>
      <c r="B74" s="68" t="s">
        <v>122</v>
      </c>
      <c r="C74" s="67" t="s">
        <v>222</v>
      </c>
      <c r="D74" s="68" t="s">
        <v>332</v>
      </c>
      <c r="E74" s="68">
        <v>242</v>
      </c>
      <c r="F74" s="131">
        <f>'ПР 7 ведом'!G368</f>
        <v>422.5</v>
      </c>
      <c r="G74" s="65"/>
      <c r="H74" s="90"/>
      <c r="I74" s="90"/>
      <c r="J74" s="90"/>
      <c r="K74" s="90"/>
      <c r="L74" s="90"/>
      <c r="M74" s="90"/>
    </row>
    <row r="75" spans="1:13" s="52" customFormat="1" ht="21" customHeight="1" x14ac:dyDescent="0.2">
      <c r="A75" s="70" t="s">
        <v>153</v>
      </c>
      <c r="B75" s="68" t="s">
        <v>122</v>
      </c>
      <c r="C75" s="67" t="s">
        <v>222</v>
      </c>
      <c r="D75" s="68" t="s">
        <v>332</v>
      </c>
      <c r="E75" s="68" t="s">
        <v>154</v>
      </c>
      <c r="F75" s="131">
        <f>'ПР 7 ведом'!G369</f>
        <v>340.4</v>
      </c>
      <c r="G75" s="65"/>
      <c r="H75" s="90"/>
      <c r="I75" s="90"/>
      <c r="J75" s="90"/>
      <c r="K75" s="90"/>
      <c r="L75" s="90"/>
      <c r="M75" s="90"/>
    </row>
    <row r="76" spans="1:13" s="52" customFormat="1" ht="21" customHeight="1" x14ac:dyDescent="0.2">
      <c r="A76" s="70" t="s">
        <v>172</v>
      </c>
      <c r="B76" s="68" t="s">
        <v>122</v>
      </c>
      <c r="C76" s="67" t="s">
        <v>222</v>
      </c>
      <c r="D76" s="68" t="s">
        <v>332</v>
      </c>
      <c r="E76" s="68" t="s">
        <v>235</v>
      </c>
      <c r="F76" s="131">
        <f>F77</f>
        <v>3.5999999999999996</v>
      </c>
      <c r="G76" s="65"/>
      <c r="H76" s="90"/>
      <c r="I76" s="90"/>
      <c r="J76" s="90"/>
      <c r="K76" s="90"/>
      <c r="L76" s="90"/>
      <c r="M76" s="90"/>
    </row>
    <row r="77" spans="1:13" s="52" customFormat="1" ht="21" customHeight="1" x14ac:dyDescent="0.2">
      <c r="A77" s="70" t="s">
        <v>173</v>
      </c>
      <c r="B77" s="68" t="s">
        <v>122</v>
      </c>
      <c r="C77" s="67" t="s">
        <v>222</v>
      </c>
      <c r="D77" s="68" t="s">
        <v>332</v>
      </c>
      <c r="E77" s="68" t="s">
        <v>174</v>
      </c>
      <c r="F77" s="131">
        <f>F78+F79</f>
        <v>3.5999999999999996</v>
      </c>
      <c r="G77" s="65"/>
      <c r="H77" s="90"/>
      <c r="I77" s="90"/>
      <c r="J77" s="90"/>
      <c r="K77" s="90"/>
      <c r="L77" s="90"/>
      <c r="M77" s="90"/>
    </row>
    <row r="78" spans="1:13" s="52" customFormat="1" ht="13.5" customHeight="1" x14ac:dyDescent="0.2">
      <c r="A78" s="70" t="s">
        <v>236</v>
      </c>
      <c r="B78" s="68" t="s">
        <v>122</v>
      </c>
      <c r="C78" s="67" t="s">
        <v>222</v>
      </c>
      <c r="D78" s="68" t="s">
        <v>332</v>
      </c>
      <c r="E78" s="68" t="s">
        <v>258</v>
      </c>
      <c r="F78" s="131">
        <f>'ПР 7 ведом'!G372</f>
        <v>0.8</v>
      </c>
      <c r="G78" s="65"/>
      <c r="H78" s="90"/>
      <c r="I78" s="90"/>
      <c r="J78" s="90"/>
      <c r="K78" s="90"/>
      <c r="L78" s="90"/>
      <c r="M78" s="90"/>
    </row>
    <row r="79" spans="1:13" s="52" customFormat="1" ht="13.5" customHeight="1" x14ac:dyDescent="0.2">
      <c r="A79" s="115" t="s">
        <v>564</v>
      </c>
      <c r="B79" s="68" t="s">
        <v>122</v>
      </c>
      <c r="C79" s="67" t="s">
        <v>222</v>
      </c>
      <c r="D79" s="68" t="s">
        <v>332</v>
      </c>
      <c r="E79" s="84">
        <v>853</v>
      </c>
      <c r="F79" s="131">
        <f>'ПР 7 ведом'!G373</f>
        <v>2.8</v>
      </c>
      <c r="G79" s="65"/>
      <c r="H79" s="90"/>
      <c r="I79" s="90"/>
      <c r="J79" s="90"/>
      <c r="K79" s="90"/>
      <c r="L79" s="90"/>
      <c r="M79" s="90"/>
    </row>
    <row r="80" spans="1:13" s="283" customFormat="1" ht="16.5" customHeight="1" x14ac:dyDescent="0.2">
      <c r="A80" s="82" t="s">
        <v>496</v>
      </c>
      <c r="B80" s="68" t="s">
        <v>122</v>
      </c>
      <c r="C80" s="67" t="s">
        <v>222</v>
      </c>
      <c r="D80" s="68" t="s">
        <v>497</v>
      </c>
      <c r="E80" s="68" t="s">
        <v>184</v>
      </c>
      <c r="F80" s="131">
        <f>F81+F86</f>
        <v>1507.3</v>
      </c>
      <c r="G80" s="65"/>
      <c r="H80" s="282"/>
      <c r="I80" s="282"/>
      <c r="J80" s="282"/>
      <c r="K80" s="282"/>
      <c r="L80" s="282"/>
      <c r="M80" s="282"/>
    </row>
    <row r="81" spans="1:13" s="59" customFormat="1" ht="45" x14ac:dyDescent="0.2">
      <c r="A81" s="66" t="s">
        <v>139</v>
      </c>
      <c r="B81" s="68" t="s">
        <v>122</v>
      </c>
      <c r="C81" s="67" t="s">
        <v>222</v>
      </c>
      <c r="D81" s="67" t="s">
        <v>498</v>
      </c>
      <c r="E81" s="68" t="s">
        <v>140</v>
      </c>
      <c r="F81" s="131">
        <f>F82</f>
        <v>1435.1</v>
      </c>
      <c r="G81" s="65"/>
      <c r="H81" s="89"/>
      <c r="I81" s="89"/>
      <c r="J81" s="89"/>
      <c r="K81" s="89"/>
      <c r="L81" s="89"/>
      <c r="M81" s="89"/>
    </row>
    <row r="82" spans="1:13" s="59" customFormat="1" ht="23.25" customHeight="1" x14ac:dyDescent="0.2">
      <c r="A82" s="66" t="s">
        <v>168</v>
      </c>
      <c r="B82" s="68" t="s">
        <v>122</v>
      </c>
      <c r="C82" s="67" t="s">
        <v>222</v>
      </c>
      <c r="D82" s="67" t="s">
        <v>498</v>
      </c>
      <c r="E82" s="68" t="s">
        <v>232</v>
      </c>
      <c r="F82" s="131">
        <f>F83+F85+F84</f>
        <v>1435.1</v>
      </c>
      <c r="G82" s="65"/>
      <c r="H82" s="89"/>
      <c r="I82" s="89"/>
      <c r="J82" s="89"/>
      <c r="K82" s="89"/>
      <c r="L82" s="89"/>
      <c r="M82" s="89"/>
    </row>
    <row r="83" spans="1:13" s="59" customFormat="1" ht="13.5" customHeight="1" x14ac:dyDescent="0.2">
      <c r="A83" s="69" t="s">
        <v>169</v>
      </c>
      <c r="B83" s="68" t="s">
        <v>122</v>
      </c>
      <c r="C83" s="67" t="s">
        <v>222</v>
      </c>
      <c r="D83" s="67" t="s">
        <v>498</v>
      </c>
      <c r="E83" s="68" t="s">
        <v>233</v>
      </c>
      <c r="F83" s="131">
        <f>'ПР 7 ведом'!G645</f>
        <v>1092.4000000000001</v>
      </c>
      <c r="G83" s="65"/>
      <c r="H83" s="89"/>
      <c r="I83" s="89"/>
      <c r="J83" s="89"/>
      <c r="K83" s="89"/>
      <c r="L83" s="89"/>
      <c r="M83" s="89"/>
    </row>
    <row r="84" spans="1:13" s="52" customFormat="1" ht="33.75" customHeight="1" x14ac:dyDescent="0.2">
      <c r="A84" s="69" t="s">
        <v>170</v>
      </c>
      <c r="B84" s="68" t="s">
        <v>122</v>
      </c>
      <c r="C84" s="67" t="s">
        <v>222</v>
      </c>
      <c r="D84" s="67" t="s">
        <v>498</v>
      </c>
      <c r="E84" s="68">
        <v>129</v>
      </c>
      <c r="F84" s="131">
        <f>'ПР 7 ведом'!G646</f>
        <v>329.9</v>
      </c>
      <c r="G84" s="65"/>
      <c r="H84" s="90"/>
      <c r="I84" s="90"/>
      <c r="J84" s="90"/>
      <c r="K84" s="90"/>
      <c r="L84" s="90"/>
      <c r="M84" s="90"/>
    </row>
    <row r="85" spans="1:13" s="52" customFormat="1" ht="22.5" customHeight="1" x14ac:dyDescent="0.2">
      <c r="A85" s="66" t="s">
        <v>499</v>
      </c>
      <c r="B85" s="68" t="s">
        <v>122</v>
      </c>
      <c r="C85" s="67" t="s">
        <v>222</v>
      </c>
      <c r="D85" s="67" t="s">
        <v>500</v>
      </c>
      <c r="E85" s="68">
        <v>122</v>
      </c>
      <c r="F85" s="131">
        <f>'ПР 7 ведом'!G649</f>
        <v>12.8</v>
      </c>
      <c r="G85" s="65"/>
      <c r="H85" s="90"/>
      <c r="I85" s="90"/>
      <c r="J85" s="90"/>
      <c r="K85" s="90"/>
      <c r="L85" s="90"/>
      <c r="M85" s="90"/>
    </row>
    <row r="86" spans="1:13" s="59" customFormat="1" ht="24.75" customHeight="1" x14ac:dyDescent="0.2">
      <c r="A86" s="66" t="s">
        <v>149</v>
      </c>
      <c r="B86" s="68" t="s">
        <v>122</v>
      </c>
      <c r="C86" s="67" t="s">
        <v>222</v>
      </c>
      <c r="D86" s="67" t="s">
        <v>500</v>
      </c>
      <c r="E86" s="68" t="s">
        <v>150</v>
      </c>
      <c r="F86" s="131">
        <f>F87</f>
        <v>72.2</v>
      </c>
      <c r="G86" s="65"/>
      <c r="H86" s="89"/>
      <c r="I86" s="89"/>
      <c r="J86" s="89"/>
      <c r="K86" s="89"/>
      <c r="L86" s="89"/>
      <c r="M86" s="89"/>
    </row>
    <row r="87" spans="1:13" s="59" customFormat="1" ht="27.75" customHeight="1" x14ac:dyDescent="0.2">
      <c r="A87" s="70" t="s">
        <v>151</v>
      </c>
      <c r="B87" s="68" t="s">
        <v>122</v>
      </c>
      <c r="C87" s="67" t="s">
        <v>222</v>
      </c>
      <c r="D87" s="67" t="s">
        <v>500</v>
      </c>
      <c r="E87" s="68" t="s">
        <v>152</v>
      </c>
      <c r="F87" s="131">
        <f>F89+F88</f>
        <v>72.2</v>
      </c>
      <c r="G87" s="65"/>
      <c r="H87" s="89"/>
      <c r="I87" s="89"/>
      <c r="J87" s="89"/>
      <c r="K87" s="89"/>
      <c r="L87" s="89"/>
      <c r="M87" s="89"/>
    </row>
    <row r="88" spans="1:13" s="59" customFormat="1" ht="27.75" customHeight="1" x14ac:dyDescent="0.2">
      <c r="A88" s="70" t="s">
        <v>171</v>
      </c>
      <c r="B88" s="68" t="s">
        <v>122</v>
      </c>
      <c r="C88" s="67" t="s">
        <v>222</v>
      </c>
      <c r="D88" s="67" t="s">
        <v>500</v>
      </c>
      <c r="E88" s="68">
        <v>242</v>
      </c>
      <c r="F88" s="131">
        <f>'ПР 7 ведом'!G652</f>
        <v>43.2</v>
      </c>
      <c r="G88" s="65"/>
      <c r="H88" s="89"/>
      <c r="I88" s="89"/>
      <c r="J88" s="89"/>
      <c r="K88" s="89"/>
      <c r="L88" s="89"/>
      <c r="M88" s="89"/>
    </row>
    <row r="89" spans="1:13" s="59" customFormat="1" ht="27.75" customHeight="1" x14ac:dyDescent="0.2">
      <c r="A89" s="70" t="s">
        <v>153</v>
      </c>
      <c r="B89" s="68" t="s">
        <v>122</v>
      </c>
      <c r="C89" s="67" t="s">
        <v>222</v>
      </c>
      <c r="D89" s="67" t="s">
        <v>500</v>
      </c>
      <c r="E89" s="68" t="s">
        <v>154</v>
      </c>
      <c r="F89" s="131">
        <f>'ПР 7 ведом'!G653</f>
        <v>29</v>
      </c>
      <c r="G89" s="65"/>
      <c r="H89" s="89"/>
      <c r="I89" s="89"/>
      <c r="J89" s="89"/>
      <c r="K89" s="89"/>
      <c r="L89" s="89"/>
      <c r="M89" s="89"/>
    </row>
    <row r="90" spans="1:13" s="283" customFormat="1" ht="20.25" customHeight="1" x14ac:dyDescent="0.2">
      <c r="A90" s="212" t="s">
        <v>654</v>
      </c>
      <c r="B90" s="97" t="s">
        <v>122</v>
      </c>
      <c r="C90" s="99" t="s">
        <v>471</v>
      </c>
      <c r="D90" s="84" t="s">
        <v>666</v>
      </c>
      <c r="E90" s="68"/>
      <c r="F90" s="138">
        <f>F91</f>
        <v>200</v>
      </c>
      <c r="G90" s="65"/>
      <c r="H90" s="282"/>
      <c r="I90" s="282"/>
      <c r="J90" s="282"/>
      <c r="K90" s="282"/>
      <c r="L90" s="282"/>
      <c r="M90" s="282"/>
    </row>
    <row r="91" spans="1:13" s="283" customFormat="1" ht="20.25" customHeight="1" x14ac:dyDescent="0.2">
      <c r="A91" s="70" t="s">
        <v>667</v>
      </c>
      <c r="B91" s="68" t="s">
        <v>122</v>
      </c>
      <c r="C91" s="67" t="s">
        <v>471</v>
      </c>
      <c r="D91" s="84" t="s">
        <v>666</v>
      </c>
      <c r="E91" s="68"/>
      <c r="F91" s="131">
        <f>F92</f>
        <v>200</v>
      </c>
      <c r="G91" s="65"/>
      <c r="H91" s="282"/>
      <c r="I91" s="282"/>
      <c r="J91" s="282"/>
      <c r="K91" s="282"/>
      <c r="L91" s="282"/>
      <c r="M91" s="282"/>
    </row>
    <row r="92" spans="1:13" s="283" customFormat="1" ht="20.25" customHeight="1" x14ac:dyDescent="0.2">
      <c r="A92" s="83" t="s">
        <v>650</v>
      </c>
      <c r="B92" s="68" t="s">
        <v>122</v>
      </c>
      <c r="C92" s="67" t="s">
        <v>471</v>
      </c>
      <c r="D92" s="84" t="s">
        <v>666</v>
      </c>
      <c r="E92" s="84">
        <v>800</v>
      </c>
      <c r="F92" s="131">
        <f>F93</f>
        <v>200</v>
      </c>
      <c r="G92" s="65"/>
      <c r="H92" s="282"/>
      <c r="I92" s="282"/>
      <c r="J92" s="282"/>
      <c r="K92" s="282"/>
      <c r="L92" s="282"/>
      <c r="M92" s="282"/>
    </row>
    <row r="93" spans="1:13" s="283" customFormat="1" ht="20.25" customHeight="1" x14ac:dyDescent="0.2">
      <c r="A93" s="83" t="s">
        <v>151</v>
      </c>
      <c r="B93" s="68" t="s">
        <v>122</v>
      </c>
      <c r="C93" s="67" t="s">
        <v>471</v>
      </c>
      <c r="D93" s="84" t="s">
        <v>666</v>
      </c>
      <c r="E93" s="84">
        <v>800</v>
      </c>
      <c r="F93" s="131">
        <f>F94</f>
        <v>200</v>
      </c>
      <c r="G93" s="65"/>
      <c r="H93" s="282"/>
      <c r="I93" s="282"/>
      <c r="J93" s="282"/>
      <c r="K93" s="282"/>
      <c r="L93" s="282"/>
      <c r="M93" s="282"/>
    </row>
    <row r="94" spans="1:13" s="283" customFormat="1" ht="20.25" customHeight="1" x14ac:dyDescent="0.2">
      <c r="A94" s="115" t="s">
        <v>153</v>
      </c>
      <c r="B94" s="68" t="s">
        <v>122</v>
      </c>
      <c r="C94" s="67" t="s">
        <v>471</v>
      </c>
      <c r="D94" s="84" t="s">
        <v>666</v>
      </c>
      <c r="E94" s="84">
        <v>870</v>
      </c>
      <c r="F94" s="131">
        <f>'ПР 7 ведом'!G444</f>
        <v>200</v>
      </c>
      <c r="G94" s="65"/>
      <c r="H94" s="282"/>
      <c r="I94" s="282"/>
      <c r="J94" s="282"/>
      <c r="K94" s="282"/>
      <c r="L94" s="282"/>
      <c r="M94" s="282"/>
    </row>
    <row r="95" spans="1:13" s="283" customFormat="1" x14ac:dyDescent="0.2">
      <c r="A95" s="98" t="s">
        <v>333</v>
      </c>
      <c r="B95" s="96" t="s">
        <v>122</v>
      </c>
      <c r="C95" s="94" t="s">
        <v>334</v>
      </c>
      <c r="D95" s="68"/>
      <c r="E95" s="68"/>
      <c r="F95" s="138">
        <f>F96+F101+F105+F111</f>
        <v>523.9</v>
      </c>
      <c r="G95" s="64"/>
      <c r="H95" s="148"/>
      <c r="I95" s="282"/>
      <c r="J95" s="282"/>
      <c r="K95" s="282"/>
      <c r="L95" s="282"/>
      <c r="M95" s="282"/>
    </row>
    <row r="96" spans="1:13" s="283" customFormat="1" ht="42" x14ac:dyDescent="0.2">
      <c r="A96" s="61" t="s">
        <v>383</v>
      </c>
      <c r="B96" s="96" t="s">
        <v>122</v>
      </c>
      <c r="C96" s="94" t="s">
        <v>334</v>
      </c>
      <c r="D96" s="96" t="s">
        <v>384</v>
      </c>
      <c r="E96" s="96"/>
      <c r="F96" s="131">
        <f>F97</f>
        <v>40</v>
      </c>
      <c r="G96" s="64"/>
      <c r="H96" s="148"/>
      <c r="I96" s="282"/>
      <c r="J96" s="282"/>
      <c r="K96" s="282"/>
      <c r="L96" s="282"/>
      <c r="M96" s="282"/>
    </row>
    <row r="97" spans="1:13" s="283" customFormat="1" ht="33.75" x14ac:dyDescent="0.2">
      <c r="A97" s="66" t="s">
        <v>385</v>
      </c>
      <c r="B97" s="68" t="s">
        <v>122</v>
      </c>
      <c r="C97" s="67" t="s">
        <v>334</v>
      </c>
      <c r="D97" s="68" t="s">
        <v>386</v>
      </c>
      <c r="E97" s="68"/>
      <c r="F97" s="131">
        <f>F98</f>
        <v>40</v>
      </c>
      <c r="G97" s="64"/>
      <c r="H97" s="148"/>
      <c r="I97" s="282"/>
      <c r="J97" s="282"/>
      <c r="K97" s="282"/>
      <c r="L97" s="282"/>
      <c r="M97" s="282"/>
    </row>
    <row r="98" spans="1:13" s="283" customFormat="1" ht="22.5" x14ac:dyDescent="0.2">
      <c r="A98" s="66" t="s">
        <v>149</v>
      </c>
      <c r="B98" s="68" t="s">
        <v>122</v>
      </c>
      <c r="C98" s="67" t="s">
        <v>334</v>
      </c>
      <c r="D98" s="68" t="s">
        <v>386</v>
      </c>
      <c r="E98" s="68" t="s">
        <v>150</v>
      </c>
      <c r="F98" s="131">
        <f>F99</f>
        <v>40</v>
      </c>
      <c r="G98" s="64"/>
      <c r="H98" s="148"/>
      <c r="I98" s="282"/>
      <c r="J98" s="282"/>
      <c r="K98" s="282"/>
      <c r="L98" s="282"/>
      <c r="M98" s="282"/>
    </row>
    <row r="99" spans="1:13" s="283" customFormat="1" ht="22.5" x14ac:dyDescent="0.2">
      <c r="A99" s="66" t="s">
        <v>151</v>
      </c>
      <c r="B99" s="68" t="s">
        <v>122</v>
      </c>
      <c r="C99" s="67" t="s">
        <v>334</v>
      </c>
      <c r="D99" s="68" t="s">
        <v>386</v>
      </c>
      <c r="E99" s="68" t="s">
        <v>152</v>
      </c>
      <c r="F99" s="131">
        <f>F100</f>
        <v>40</v>
      </c>
      <c r="G99" s="64"/>
      <c r="H99" s="148"/>
      <c r="I99" s="282"/>
      <c r="J99" s="282"/>
      <c r="K99" s="282"/>
      <c r="L99" s="282"/>
      <c r="M99" s="282"/>
    </row>
    <row r="100" spans="1:13" s="283" customFormat="1" ht="22.5" x14ac:dyDescent="0.2">
      <c r="A100" s="70" t="s">
        <v>153</v>
      </c>
      <c r="B100" s="68" t="s">
        <v>122</v>
      </c>
      <c r="C100" s="67" t="s">
        <v>334</v>
      </c>
      <c r="D100" s="68" t="s">
        <v>386</v>
      </c>
      <c r="E100" s="68" t="s">
        <v>154</v>
      </c>
      <c r="F100" s="131">
        <f>'ПР 7 ведом'!G450</f>
        <v>40</v>
      </c>
      <c r="G100" s="64"/>
      <c r="H100" s="148"/>
      <c r="I100" s="282"/>
      <c r="J100" s="282"/>
      <c r="K100" s="282"/>
      <c r="L100" s="282"/>
      <c r="M100" s="282"/>
    </row>
    <row r="101" spans="1:13" s="59" customFormat="1" ht="22.5" x14ac:dyDescent="0.2">
      <c r="A101" s="88" t="s">
        <v>387</v>
      </c>
      <c r="B101" s="68" t="s">
        <v>122</v>
      </c>
      <c r="C101" s="67" t="s">
        <v>334</v>
      </c>
      <c r="D101" s="68" t="s">
        <v>388</v>
      </c>
      <c r="E101" s="68"/>
      <c r="F101" s="131">
        <f>F102</f>
        <v>83</v>
      </c>
      <c r="G101" s="65"/>
      <c r="H101" s="89"/>
      <c r="I101" s="89"/>
      <c r="J101" s="89"/>
      <c r="K101" s="89"/>
      <c r="L101" s="89"/>
      <c r="M101" s="89"/>
    </row>
    <row r="102" spans="1:13" s="59" customFormat="1" ht="22.5" x14ac:dyDescent="0.2">
      <c r="A102" s="66" t="s">
        <v>149</v>
      </c>
      <c r="B102" s="68" t="s">
        <v>122</v>
      </c>
      <c r="C102" s="67" t="s">
        <v>334</v>
      </c>
      <c r="D102" s="68" t="s">
        <v>388</v>
      </c>
      <c r="E102" s="68" t="s">
        <v>150</v>
      </c>
      <c r="F102" s="131">
        <f>F103</f>
        <v>83</v>
      </c>
      <c r="G102" s="65"/>
      <c r="H102" s="89"/>
      <c r="I102" s="89"/>
      <c r="J102" s="89"/>
      <c r="K102" s="89"/>
      <c r="L102" s="89"/>
      <c r="M102" s="89"/>
    </row>
    <row r="103" spans="1:13" s="59" customFormat="1" ht="22.5" x14ac:dyDescent="0.2">
      <c r="A103" s="66" t="s">
        <v>151</v>
      </c>
      <c r="B103" s="68" t="s">
        <v>122</v>
      </c>
      <c r="C103" s="67" t="s">
        <v>334</v>
      </c>
      <c r="D103" s="68" t="s">
        <v>388</v>
      </c>
      <c r="E103" s="68" t="s">
        <v>152</v>
      </c>
      <c r="F103" s="131">
        <f>F104</f>
        <v>83</v>
      </c>
      <c r="G103" s="65"/>
      <c r="H103" s="89"/>
      <c r="I103" s="89"/>
      <c r="J103" s="89"/>
      <c r="K103" s="89"/>
      <c r="L103" s="89"/>
      <c r="M103" s="89"/>
    </row>
    <row r="104" spans="1:13" s="59" customFormat="1" ht="22.5" x14ac:dyDescent="0.2">
      <c r="A104" s="70" t="s">
        <v>153</v>
      </c>
      <c r="B104" s="68" t="s">
        <v>122</v>
      </c>
      <c r="C104" s="67" t="s">
        <v>334</v>
      </c>
      <c r="D104" s="68" t="s">
        <v>388</v>
      </c>
      <c r="E104" s="68" t="s">
        <v>154</v>
      </c>
      <c r="F104" s="131">
        <f>'ПР 7 ведом'!G454</f>
        <v>83</v>
      </c>
      <c r="G104" s="65"/>
      <c r="H104" s="89"/>
      <c r="I104" s="89"/>
      <c r="J104" s="89"/>
      <c r="K104" s="89"/>
      <c r="L104" s="89"/>
      <c r="M104" s="89"/>
    </row>
    <row r="105" spans="1:13" s="59" customFormat="1" ht="36" customHeight="1" x14ac:dyDescent="0.2">
      <c r="A105" s="69" t="s">
        <v>76</v>
      </c>
      <c r="B105" s="68" t="s">
        <v>122</v>
      </c>
      <c r="C105" s="67" t="s">
        <v>334</v>
      </c>
      <c r="D105" s="68" t="s">
        <v>336</v>
      </c>
      <c r="E105" s="68"/>
      <c r="F105" s="131">
        <f>F106+F109</f>
        <v>7</v>
      </c>
      <c r="G105" s="65"/>
      <c r="H105" s="89"/>
      <c r="I105" s="89"/>
      <c r="J105" s="89"/>
      <c r="K105" s="89"/>
      <c r="L105" s="89"/>
      <c r="M105" s="89"/>
    </row>
    <row r="106" spans="1:13" s="59" customFormat="1" ht="12" customHeight="1" x14ac:dyDescent="0.2">
      <c r="A106" s="83" t="s">
        <v>650</v>
      </c>
      <c r="B106" s="84" t="s">
        <v>122</v>
      </c>
      <c r="C106" s="87" t="s">
        <v>334</v>
      </c>
      <c r="D106" s="84" t="s">
        <v>336</v>
      </c>
      <c r="E106" s="84">
        <v>200</v>
      </c>
      <c r="F106" s="131">
        <f>F107</f>
        <v>1</v>
      </c>
      <c r="G106" s="65"/>
      <c r="H106" s="89"/>
      <c r="I106" s="89"/>
      <c r="J106" s="89"/>
      <c r="K106" s="89"/>
      <c r="L106" s="89"/>
      <c r="M106" s="89"/>
    </row>
    <row r="107" spans="1:13" s="59" customFormat="1" ht="12" customHeight="1" x14ac:dyDescent="0.2">
      <c r="A107" s="83" t="s">
        <v>151</v>
      </c>
      <c r="B107" s="84" t="s">
        <v>122</v>
      </c>
      <c r="C107" s="87" t="s">
        <v>334</v>
      </c>
      <c r="D107" s="84" t="s">
        <v>336</v>
      </c>
      <c r="E107" s="84">
        <v>240</v>
      </c>
      <c r="F107" s="131">
        <f>F108</f>
        <v>1</v>
      </c>
      <c r="G107" s="65"/>
      <c r="H107" s="89"/>
      <c r="I107" s="89"/>
      <c r="J107" s="89"/>
      <c r="K107" s="89"/>
      <c r="L107" s="89"/>
      <c r="M107" s="89"/>
    </row>
    <row r="108" spans="1:13" s="59" customFormat="1" ht="12" customHeight="1" x14ac:dyDescent="0.2">
      <c r="A108" s="115" t="s">
        <v>153</v>
      </c>
      <c r="B108" s="84" t="s">
        <v>122</v>
      </c>
      <c r="C108" s="87" t="s">
        <v>334</v>
      </c>
      <c r="D108" s="84" t="s">
        <v>336</v>
      </c>
      <c r="E108" s="84">
        <v>244</v>
      </c>
      <c r="F108" s="131">
        <f>'ПР 7 ведом'!G458</f>
        <v>1</v>
      </c>
      <c r="G108" s="65"/>
      <c r="H108" s="89"/>
      <c r="I108" s="89"/>
      <c r="J108" s="89"/>
      <c r="K108" s="89"/>
      <c r="L108" s="89"/>
      <c r="M108" s="89"/>
    </row>
    <row r="109" spans="1:13" s="59" customFormat="1" ht="15.75" customHeight="1" x14ac:dyDescent="0.2">
      <c r="A109" s="83" t="s">
        <v>337</v>
      </c>
      <c r="B109" s="68" t="s">
        <v>122</v>
      </c>
      <c r="C109" s="67" t="s">
        <v>334</v>
      </c>
      <c r="D109" s="68" t="s">
        <v>336</v>
      </c>
      <c r="E109" s="68">
        <v>500</v>
      </c>
      <c r="F109" s="131">
        <f>F110</f>
        <v>6</v>
      </c>
      <c r="G109" s="65"/>
      <c r="H109" s="89"/>
      <c r="I109" s="89"/>
      <c r="J109" s="89"/>
      <c r="K109" s="89"/>
      <c r="L109" s="89"/>
      <c r="M109" s="89"/>
    </row>
    <row r="110" spans="1:13" s="59" customFormat="1" ht="15.75" customHeight="1" x14ac:dyDescent="0.2">
      <c r="A110" s="66" t="s">
        <v>338</v>
      </c>
      <c r="B110" s="68" t="s">
        <v>122</v>
      </c>
      <c r="C110" s="67" t="s">
        <v>334</v>
      </c>
      <c r="D110" s="68" t="s">
        <v>336</v>
      </c>
      <c r="E110" s="68">
        <v>530</v>
      </c>
      <c r="F110" s="131">
        <f>'ПР 7 ведом'!G378</f>
        <v>6</v>
      </c>
      <c r="G110" s="65"/>
      <c r="H110" s="89"/>
      <c r="I110" s="89"/>
      <c r="J110" s="89"/>
      <c r="K110" s="89"/>
      <c r="L110" s="89"/>
      <c r="M110" s="89"/>
    </row>
    <row r="111" spans="1:13" s="52" customFormat="1" ht="32.25" customHeight="1" x14ac:dyDescent="0.2">
      <c r="A111" s="85" t="s">
        <v>82</v>
      </c>
      <c r="B111" s="68" t="s">
        <v>122</v>
      </c>
      <c r="C111" s="67" t="s">
        <v>334</v>
      </c>
      <c r="D111" s="68" t="s">
        <v>389</v>
      </c>
      <c r="E111" s="68" t="s">
        <v>184</v>
      </c>
      <c r="F111" s="131">
        <f>F112+F117</f>
        <v>393.9</v>
      </c>
      <c r="G111" s="65"/>
      <c r="H111" s="90"/>
      <c r="I111" s="90"/>
      <c r="J111" s="90"/>
      <c r="K111" s="90"/>
      <c r="L111" s="90"/>
      <c r="M111" s="90"/>
    </row>
    <row r="112" spans="1:13" s="52" customFormat="1" ht="45" x14ac:dyDescent="0.2">
      <c r="A112" s="66" t="s">
        <v>139</v>
      </c>
      <c r="B112" s="68" t="s">
        <v>122</v>
      </c>
      <c r="C112" s="67" t="s">
        <v>334</v>
      </c>
      <c r="D112" s="68" t="s">
        <v>389</v>
      </c>
      <c r="E112" s="68" t="s">
        <v>140</v>
      </c>
      <c r="F112" s="131">
        <f>F113</f>
        <v>393.09999999999997</v>
      </c>
      <c r="G112" s="65"/>
      <c r="H112" s="90"/>
      <c r="I112" s="90"/>
      <c r="J112" s="90"/>
      <c r="K112" s="90"/>
      <c r="L112" s="90"/>
      <c r="M112" s="90"/>
    </row>
    <row r="113" spans="1:13" s="52" customFormat="1" ht="22.5" customHeight="1" x14ac:dyDescent="0.2">
      <c r="A113" s="66" t="s">
        <v>168</v>
      </c>
      <c r="B113" s="68" t="s">
        <v>122</v>
      </c>
      <c r="C113" s="67" t="s">
        <v>334</v>
      </c>
      <c r="D113" s="68" t="s">
        <v>389</v>
      </c>
      <c r="E113" s="68" t="s">
        <v>232</v>
      </c>
      <c r="F113" s="131">
        <f>F114+F115</f>
        <v>393.09999999999997</v>
      </c>
      <c r="G113" s="65"/>
      <c r="H113" s="90"/>
      <c r="I113" s="90"/>
      <c r="J113" s="90"/>
      <c r="K113" s="90"/>
      <c r="L113" s="90"/>
      <c r="M113" s="90"/>
    </row>
    <row r="114" spans="1:13" s="52" customFormat="1" ht="22.5" customHeight="1" x14ac:dyDescent="0.2">
      <c r="A114" s="69" t="s">
        <v>169</v>
      </c>
      <c r="B114" s="68" t="s">
        <v>122</v>
      </c>
      <c r="C114" s="67" t="s">
        <v>334</v>
      </c>
      <c r="D114" s="68" t="s">
        <v>389</v>
      </c>
      <c r="E114" s="68" t="s">
        <v>233</v>
      </c>
      <c r="F114" s="131">
        <f>'ПР 7 ведом'!G462</f>
        <v>301.89999999999998</v>
      </c>
      <c r="G114" s="65"/>
      <c r="H114" s="90"/>
      <c r="I114" s="90"/>
      <c r="J114" s="90"/>
      <c r="K114" s="90"/>
      <c r="L114" s="90"/>
      <c r="M114" s="90"/>
    </row>
    <row r="115" spans="1:13" s="52" customFormat="1" ht="33" customHeight="1" x14ac:dyDescent="0.2">
      <c r="A115" s="69" t="s">
        <v>170</v>
      </c>
      <c r="B115" s="68" t="s">
        <v>122</v>
      </c>
      <c r="C115" s="67" t="s">
        <v>334</v>
      </c>
      <c r="D115" s="68" t="s">
        <v>389</v>
      </c>
      <c r="E115" s="68">
        <v>129</v>
      </c>
      <c r="F115" s="131">
        <f>'ПР 7 ведом'!G463</f>
        <v>91.2</v>
      </c>
      <c r="G115" s="65"/>
      <c r="H115" s="90"/>
      <c r="I115" s="90"/>
      <c r="J115" s="90"/>
      <c r="K115" s="90"/>
      <c r="L115" s="90"/>
      <c r="M115" s="90"/>
    </row>
    <row r="116" spans="1:13" s="52" customFormat="1" ht="21" customHeight="1" x14ac:dyDescent="0.2">
      <c r="A116" s="66" t="s">
        <v>149</v>
      </c>
      <c r="B116" s="68" t="s">
        <v>122</v>
      </c>
      <c r="C116" s="67" t="s">
        <v>334</v>
      </c>
      <c r="D116" s="68" t="s">
        <v>389</v>
      </c>
      <c r="E116" s="68">
        <v>200</v>
      </c>
      <c r="F116" s="131">
        <f>F117</f>
        <v>0.8</v>
      </c>
      <c r="G116" s="65"/>
      <c r="H116" s="90"/>
      <c r="I116" s="90"/>
      <c r="J116" s="90"/>
      <c r="K116" s="90"/>
      <c r="L116" s="90"/>
      <c r="M116" s="90"/>
    </row>
    <row r="117" spans="1:13" s="59" customFormat="1" ht="21" customHeight="1" x14ac:dyDescent="0.2">
      <c r="A117" s="66" t="s">
        <v>151</v>
      </c>
      <c r="B117" s="68" t="s">
        <v>122</v>
      </c>
      <c r="C117" s="67" t="s">
        <v>334</v>
      </c>
      <c r="D117" s="68" t="s">
        <v>389</v>
      </c>
      <c r="E117" s="68" t="s">
        <v>152</v>
      </c>
      <c r="F117" s="131">
        <f>F118</f>
        <v>0.8</v>
      </c>
      <c r="G117" s="65"/>
      <c r="H117" s="89"/>
      <c r="I117" s="89"/>
      <c r="J117" s="89"/>
      <c r="K117" s="89"/>
      <c r="L117" s="89"/>
      <c r="M117" s="89"/>
    </row>
    <row r="118" spans="1:13" s="59" customFormat="1" ht="21" customHeight="1" x14ac:dyDescent="0.2">
      <c r="A118" s="70" t="s">
        <v>153</v>
      </c>
      <c r="B118" s="68" t="s">
        <v>122</v>
      </c>
      <c r="C118" s="67" t="s">
        <v>334</v>
      </c>
      <c r="D118" s="68" t="s">
        <v>389</v>
      </c>
      <c r="E118" s="68" t="s">
        <v>154</v>
      </c>
      <c r="F118" s="131">
        <f>'ПР 7 ведом'!G466</f>
        <v>0.8</v>
      </c>
      <c r="G118" s="65"/>
      <c r="H118" s="89"/>
      <c r="I118" s="89"/>
      <c r="J118" s="89"/>
      <c r="K118" s="89"/>
      <c r="L118" s="89"/>
      <c r="M118" s="89"/>
    </row>
    <row r="119" spans="1:13" s="52" customFormat="1" x14ac:dyDescent="0.2">
      <c r="A119" s="341" t="s">
        <v>339</v>
      </c>
      <c r="B119" s="337" t="s">
        <v>254</v>
      </c>
      <c r="C119" s="337"/>
      <c r="D119" s="328"/>
      <c r="E119" s="328"/>
      <c r="F119" s="338">
        <f>F120</f>
        <v>762.6</v>
      </c>
      <c r="G119" s="64"/>
      <c r="H119" s="148"/>
      <c r="I119" s="90"/>
      <c r="J119" s="90"/>
      <c r="K119" s="90"/>
      <c r="L119" s="90"/>
      <c r="M119" s="90"/>
    </row>
    <row r="120" spans="1:13" s="52" customFormat="1" x14ac:dyDescent="0.2">
      <c r="A120" s="61" t="s">
        <v>340</v>
      </c>
      <c r="B120" s="94" t="s">
        <v>254</v>
      </c>
      <c r="C120" s="94" t="s">
        <v>188</v>
      </c>
      <c r="D120" s="94"/>
      <c r="E120" s="94"/>
      <c r="F120" s="138">
        <f>F121</f>
        <v>762.6</v>
      </c>
      <c r="G120" s="64"/>
      <c r="H120" s="90"/>
      <c r="I120" s="90"/>
      <c r="J120" s="90"/>
      <c r="K120" s="90"/>
      <c r="L120" s="90"/>
      <c r="M120" s="90"/>
    </row>
    <row r="121" spans="1:13" s="283" customFormat="1" x14ac:dyDescent="0.2">
      <c r="A121" s="61" t="s">
        <v>155</v>
      </c>
      <c r="B121" s="94" t="s">
        <v>254</v>
      </c>
      <c r="C121" s="94" t="s">
        <v>188</v>
      </c>
      <c r="D121" s="213" t="s">
        <v>335</v>
      </c>
      <c r="E121" s="96"/>
      <c r="F121" s="138">
        <f>F122</f>
        <v>762.6</v>
      </c>
      <c r="G121" s="64"/>
      <c r="H121" s="282"/>
      <c r="I121" s="282"/>
      <c r="J121" s="282"/>
      <c r="K121" s="282"/>
      <c r="L121" s="282"/>
      <c r="M121" s="282"/>
    </row>
    <row r="122" spans="1:13" s="59" customFormat="1" ht="56.25" x14ac:dyDescent="0.2">
      <c r="A122" s="82" t="s">
        <v>390</v>
      </c>
      <c r="B122" s="67" t="s">
        <v>254</v>
      </c>
      <c r="C122" s="67" t="s">
        <v>188</v>
      </c>
      <c r="D122" s="67" t="s">
        <v>341</v>
      </c>
      <c r="E122" s="68"/>
      <c r="F122" s="131">
        <f>F123+F127+F132</f>
        <v>762.6</v>
      </c>
      <c r="G122" s="65"/>
      <c r="H122" s="89"/>
      <c r="I122" s="89"/>
      <c r="J122" s="89"/>
      <c r="K122" s="89"/>
      <c r="L122" s="89"/>
      <c r="M122" s="89"/>
    </row>
    <row r="123" spans="1:13" s="52" customFormat="1" ht="45" x14ac:dyDescent="0.2">
      <c r="A123" s="66" t="s">
        <v>139</v>
      </c>
      <c r="B123" s="67" t="s">
        <v>254</v>
      </c>
      <c r="C123" s="67" t="s">
        <v>188</v>
      </c>
      <c r="D123" s="67" t="s">
        <v>341</v>
      </c>
      <c r="E123" s="68" t="s">
        <v>140</v>
      </c>
      <c r="F123" s="131">
        <f>F124</f>
        <v>187</v>
      </c>
      <c r="G123" s="65"/>
      <c r="H123" s="90"/>
      <c r="I123" s="90"/>
      <c r="J123" s="90"/>
      <c r="K123" s="90"/>
      <c r="L123" s="90"/>
      <c r="M123" s="90"/>
    </row>
    <row r="124" spans="1:13" s="52" customFormat="1" ht="12" customHeight="1" x14ac:dyDescent="0.2">
      <c r="A124" s="66" t="s">
        <v>141</v>
      </c>
      <c r="B124" s="67" t="s">
        <v>254</v>
      </c>
      <c r="C124" s="67" t="s">
        <v>188</v>
      </c>
      <c r="D124" s="67" t="s">
        <v>341</v>
      </c>
      <c r="E124" s="68">
        <v>110</v>
      </c>
      <c r="F124" s="131">
        <f>F125+F126</f>
        <v>187</v>
      </c>
      <c r="G124" s="65"/>
      <c r="H124" s="90"/>
      <c r="I124" s="90"/>
      <c r="J124" s="90"/>
      <c r="K124" s="90"/>
      <c r="L124" s="90"/>
      <c r="M124" s="90"/>
    </row>
    <row r="125" spans="1:13" s="52" customFormat="1" ht="12" customHeight="1" x14ac:dyDescent="0.2">
      <c r="A125" s="66" t="s">
        <v>142</v>
      </c>
      <c r="B125" s="67" t="s">
        <v>254</v>
      </c>
      <c r="C125" s="67" t="s">
        <v>188</v>
      </c>
      <c r="D125" s="67" t="s">
        <v>341</v>
      </c>
      <c r="E125" s="68">
        <v>111</v>
      </c>
      <c r="F125" s="131">
        <f>'ПР 7 ведом'!G473</f>
        <v>143.6</v>
      </c>
      <c r="G125" s="65"/>
      <c r="H125" s="90"/>
      <c r="I125" s="90"/>
      <c r="J125" s="90"/>
      <c r="K125" s="90"/>
      <c r="L125" s="90"/>
      <c r="M125" s="90"/>
    </row>
    <row r="126" spans="1:13" s="52" customFormat="1" ht="21" customHeight="1" x14ac:dyDescent="0.2">
      <c r="A126" s="69" t="s">
        <v>143</v>
      </c>
      <c r="B126" s="67" t="s">
        <v>254</v>
      </c>
      <c r="C126" s="67" t="s">
        <v>188</v>
      </c>
      <c r="D126" s="67" t="s">
        <v>341</v>
      </c>
      <c r="E126" s="68">
        <v>119</v>
      </c>
      <c r="F126" s="131">
        <f>'ПР 7 ведом'!G474</f>
        <v>43.4</v>
      </c>
      <c r="G126" s="65"/>
      <c r="H126" s="90"/>
      <c r="I126" s="90"/>
      <c r="J126" s="90"/>
      <c r="K126" s="90"/>
      <c r="L126" s="90"/>
      <c r="M126" s="90"/>
    </row>
    <row r="127" spans="1:13" s="52" customFormat="1" ht="21" customHeight="1" x14ac:dyDescent="0.2">
      <c r="A127" s="66" t="s">
        <v>149</v>
      </c>
      <c r="B127" s="67" t="s">
        <v>254</v>
      </c>
      <c r="C127" s="67" t="s">
        <v>188</v>
      </c>
      <c r="D127" s="67" t="s">
        <v>341</v>
      </c>
      <c r="E127" s="68">
        <v>200</v>
      </c>
      <c r="F127" s="131">
        <f>F128</f>
        <v>12.4</v>
      </c>
      <c r="G127" s="65"/>
      <c r="H127" s="90"/>
      <c r="I127" s="90"/>
      <c r="J127" s="90"/>
      <c r="K127" s="90"/>
      <c r="L127" s="90"/>
      <c r="M127" s="90"/>
    </row>
    <row r="128" spans="1:13" s="59" customFormat="1" ht="21" customHeight="1" x14ac:dyDescent="0.2">
      <c r="A128" s="66" t="s">
        <v>151</v>
      </c>
      <c r="B128" s="67" t="s">
        <v>254</v>
      </c>
      <c r="C128" s="67" t="s">
        <v>188</v>
      </c>
      <c r="D128" s="67" t="s">
        <v>341</v>
      </c>
      <c r="E128" s="68" t="s">
        <v>152</v>
      </c>
      <c r="F128" s="131">
        <f>F129</f>
        <v>12.4</v>
      </c>
      <c r="G128" s="65"/>
      <c r="H128" s="89"/>
      <c r="I128" s="89"/>
      <c r="J128" s="89"/>
      <c r="K128" s="89"/>
      <c r="L128" s="89"/>
      <c r="M128" s="89"/>
    </row>
    <row r="129" spans="1:13" s="59" customFormat="1" ht="24" customHeight="1" x14ac:dyDescent="0.2">
      <c r="A129" s="70" t="s">
        <v>153</v>
      </c>
      <c r="B129" s="67" t="s">
        <v>254</v>
      </c>
      <c r="C129" s="67" t="s">
        <v>188</v>
      </c>
      <c r="D129" s="67" t="s">
        <v>341</v>
      </c>
      <c r="E129" s="68" t="s">
        <v>154</v>
      </c>
      <c r="F129" s="131">
        <f>'ПР 7 ведом'!G477</f>
        <v>12.4</v>
      </c>
      <c r="G129" s="65"/>
      <c r="H129" s="89"/>
      <c r="I129" s="89"/>
      <c r="J129" s="89"/>
      <c r="K129" s="89"/>
      <c r="L129" s="89"/>
      <c r="M129" s="89"/>
    </row>
    <row r="130" spans="1:13" s="59" customFormat="1" ht="24" customHeight="1" x14ac:dyDescent="0.2">
      <c r="A130" s="61" t="s">
        <v>155</v>
      </c>
      <c r="B130" s="94" t="s">
        <v>254</v>
      </c>
      <c r="C130" s="94" t="s">
        <v>188</v>
      </c>
      <c r="D130" s="213" t="s">
        <v>335</v>
      </c>
      <c r="E130" s="96"/>
      <c r="F130" s="131">
        <f>F131</f>
        <v>563.20000000000005</v>
      </c>
      <c r="G130" s="65"/>
      <c r="H130" s="89"/>
      <c r="I130" s="89"/>
      <c r="J130" s="89"/>
      <c r="K130" s="89"/>
      <c r="L130" s="89"/>
      <c r="M130" s="89"/>
    </row>
    <row r="131" spans="1:13" s="59" customFormat="1" ht="33.75" customHeight="1" x14ac:dyDescent="0.2">
      <c r="A131" s="82" t="s">
        <v>72</v>
      </c>
      <c r="B131" s="67" t="s">
        <v>254</v>
      </c>
      <c r="C131" s="67" t="s">
        <v>188</v>
      </c>
      <c r="D131" s="67" t="s">
        <v>341</v>
      </c>
      <c r="E131" s="68"/>
      <c r="F131" s="131">
        <f>F132</f>
        <v>563.20000000000005</v>
      </c>
      <c r="G131" s="65"/>
      <c r="H131" s="89"/>
      <c r="I131" s="89"/>
      <c r="J131" s="89"/>
      <c r="K131" s="89"/>
      <c r="L131" s="89"/>
      <c r="M131" s="89"/>
    </row>
    <row r="132" spans="1:13" s="59" customFormat="1" ht="24" customHeight="1" x14ac:dyDescent="0.2">
      <c r="A132" s="83" t="s">
        <v>337</v>
      </c>
      <c r="B132" s="67" t="s">
        <v>254</v>
      </c>
      <c r="C132" s="67" t="s">
        <v>188</v>
      </c>
      <c r="D132" s="67" t="s">
        <v>341</v>
      </c>
      <c r="E132" s="67" t="s">
        <v>342</v>
      </c>
      <c r="F132" s="131">
        <f>F133</f>
        <v>563.20000000000005</v>
      </c>
      <c r="G132" s="65"/>
      <c r="H132" s="89"/>
      <c r="I132" s="89"/>
      <c r="J132" s="89"/>
      <c r="K132" s="89"/>
      <c r="L132" s="89"/>
      <c r="M132" s="89"/>
    </row>
    <row r="133" spans="1:13" s="59" customFormat="1" ht="24" customHeight="1" x14ac:dyDescent="0.2">
      <c r="A133" s="66" t="s">
        <v>338</v>
      </c>
      <c r="B133" s="67" t="s">
        <v>254</v>
      </c>
      <c r="C133" s="67" t="s">
        <v>188</v>
      </c>
      <c r="D133" s="67" t="s">
        <v>341</v>
      </c>
      <c r="E133" s="67" t="s">
        <v>343</v>
      </c>
      <c r="F133" s="131">
        <f>'ПР 7 ведом'!G384</f>
        <v>563.20000000000005</v>
      </c>
      <c r="G133" s="65"/>
      <c r="H133" s="89"/>
      <c r="I133" s="89"/>
      <c r="J133" s="89"/>
      <c r="K133" s="89"/>
      <c r="L133" s="89"/>
      <c r="M133" s="89"/>
    </row>
    <row r="134" spans="1:13" s="285" customFormat="1" ht="21" x14ac:dyDescent="0.2">
      <c r="A134" s="341" t="s">
        <v>391</v>
      </c>
      <c r="B134" s="328" t="s">
        <v>188</v>
      </c>
      <c r="C134" s="337" t="s">
        <v>182</v>
      </c>
      <c r="D134" s="328" t="s">
        <v>183</v>
      </c>
      <c r="E134" s="328" t="s">
        <v>184</v>
      </c>
      <c r="F134" s="338">
        <f>F135+F150</f>
        <v>1536.9</v>
      </c>
      <c r="G134" s="64"/>
      <c r="H134" s="157"/>
      <c r="I134" s="284"/>
      <c r="J134" s="284"/>
      <c r="K134" s="284"/>
      <c r="L134" s="284"/>
      <c r="M134" s="284"/>
    </row>
    <row r="135" spans="1:13" s="285" customFormat="1" ht="31.5" x14ac:dyDescent="0.2">
      <c r="A135" s="61" t="s">
        <v>392</v>
      </c>
      <c r="B135" s="96" t="s">
        <v>188</v>
      </c>
      <c r="C135" s="94" t="s">
        <v>262</v>
      </c>
      <c r="D135" s="96"/>
      <c r="E135" s="96"/>
      <c r="F135" s="131">
        <f>F136+F145</f>
        <v>1406.9</v>
      </c>
      <c r="G135" s="65"/>
      <c r="H135" s="284"/>
      <c r="I135" s="284"/>
      <c r="J135" s="284"/>
      <c r="K135" s="284"/>
      <c r="L135" s="284"/>
      <c r="M135" s="284"/>
    </row>
    <row r="136" spans="1:13" s="285" customFormat="1" ht="12.75" customHeight="1" x14ac:dyDescent="0.2">
      <c r="A136" s="69" t="s">
        <v>393</v>
      </c>
      <c r="B136" s="68" t="s">
        <v>188</v>
      </c>
      <c r="C136" s="67" t="s">
        <v>262</v>
      </c>
      <c r="D136" s="68" t="s">
        <v>394</v>
      </c>
      <c r="E136" s="96"/>
      <c r="F136" s="131">
        <f>F137+F141</f>
        <v>1106.9000000000001</v>
      </c>
      <c r="G136" s="65"/>
      <c r="H136" s="284"/>
      <c r="I136" s="284"/>
      <c r="J136" s="284"/>
      <c r="K136" s="284"/>
      <c r="L136" s="284"/>
      <c r="M136" s="284"/>
    </row>
    <row r="137" spans="1:13" s="59" customFormat="1" ht="45" x14ac:dyDescent="0.2">
      <c r="A137" s="66" t="s">
        <v>139</v>
      </c>
      <c r="B137" s="68" t="s">
        <v>188</v>
      </c>
      <c r="C137" s="67" t="s">
        <v>262</v>
      </c>
      <c r="D137" s="68" t="s">
        <v>394</v>
      </c>
      <c r="E137" s="68" t="s">
        <v>140</v>
      </c>
      <c r="F137" s="131">
        <f>F138</f>
        <v>1006.9</v>
      </c>
      <c r="G137" s="65"/>
      <c r="H137" s="89"/>
      <c r="I137" s="89"/>
      <c r="J137" s="89"/>
      <c r="K137" s="89"/>
      <c r="L137" s="89"/>
      <c r="M137" s="89"/>
    </row>
    <row r="138" spans="1:13" s="59" customFormat="1" ht="12.75" customHeight="1" x14ac:dyDescent="0.2">
      <c r="A138" s="66" t="s">
        <v>141</v>
      </c>
      <c r="B138" s="68" t="s">
        <v>188</v>
      </c>
      <c r="C138" s="67" t="s">
        <v>262</v>
      </c>
      <c r="D138" s="68" t="s">
        <v>394</v>
      </c>
      <c r="E138" s="68">
        <v>110</v>
      </c>
      <c r="F138" s="131">
        <f>F139+F140</f>
        <v>1006.9</v>
      </c>
      <c r="G138" s="65"/>
      <c r="H138" s="89"/>
      <c r="I138" s="89"/>
      <c r="J138" s="89"/>
      <c r="K138" s="89"/>
      <c r="L138" s="89"/>
      <c r="M138" s="89"/>
    </row>
    <row r="139" spans="1:13" s="59" customFormat="1" ht="9.75" customHeight="1" x14ac:dyDescent="0.2">
      <c r="A139" s="66" t="s">
        <v>142</v>
      </c>
      <c r="B139" s="68" t="s">
        <v>188</v>
      </c>
      <c r="C139" s="67" t="s">
        <v>262</v>
      </c>
      <c r="D139" s="68" t="s">
        <v>394</v>
      </c>
      <c r="E139" s="68">
        <v>111</v>
      </c>
      <c r="F139" s="131">
        <f>'ПР 7 ведом'!G483</f>
        <v>773.4</v>
      </c>
      <c r="G139" s="65"/>
      <c r="H139" s="89"/>
      <c r="I139" s="89"/>
      <c r="J139" s="89"/>
      <c r="K139" s="89"/>
      <c r="L139" s="89"/>
      <c r="M139" s="89"/>
    </row>
    <row r="140" spans="1:13" s="59" customFormat="1" ht="31.5" customHeight="1" x14ac:dyDescent="0.2">
      <c r="A140" s="69" t="s">
        <v>143</v>
      </c>
      <c r="B140" s="68" t="s">
        <v>188</v>
      </c>
      <c r="C140" s="67" t="s">
        <v>262</v>
      </c>
      <c r="D140" s="68" t="s">
        <v>394</v>
      </c>
      <c r="E140" s="68">
        <v>119</v>
      </c>
      <c r="F140" s="131">
        <f>'ПР 7 ведом'!G484</f>
        <v>233.5</v>
      </c>
      <c r="G140" s="65"/>
      <c r="H140" s="89"/>
      <c r="I140" s="89"/>
      <c r="J140" s="89"/>
      <c r="K140" s="89"/>
      <c r="L140" s="89"/>
      <c r="M140" s="89"/>
    </row>
    <row r="141" spans="1:13" s="59" customFormat="1" ht="31.5" customHeight="1" x14ac:dyDescent="0.2">
      <c r="A141" s="66" t="s">
        <v>149</v>
      </c>
      <c r="B141" s="68" t="s">
        <v>188</v>
      </c>
      <c r="C141" s="67" t="s">
        <v>262</v>
      </c>
      <c r="D141" s="68" t="s">
        <v>394</v>
      </c>
      <c r="E141" s="68">
        <v>200</v>
      </c>
      <c r="F141" s="131">
        <f>F142</f>
        <v>100</v>
      </c>
      <c r="G141" s="65"/>
      <c r="H141" s="89"/>
      <c r="I141" s="89"/>
      <c r="J141" s="89"/>
      <c r="K141" s="89"/>
      <c r="L141" s="89"/>
      <c r="M141" s="89"/>
    </row>
    <row r="142" spans="1:13" s="59" customFormat="1" ht="31.5" customHeight="1" x14ac:dyDescent="0.2">
      <c r="A142" s="66" t="s">
        <v>151</v>
      </c>
      <c r="B142" s="68" t="s">
        <v>188</v>
      </c>
      <c r="C142" s="67" t="s">
        <v>262</v>
      </c>
      <c r="D142" s="68" t="s">
        <v>394</v>
      </c>
      <c r="E142" s="68">
        <v>240</v>
      </c>
      <c r="F142" s="131">
        <f>F143+F144</f>
        <v>100</v>
      </c>
      <c r="G142" s="65"/>
      <c r="H142" s="89"/>
      <c r="I142" s="89"/>
      <c r="J142" s="89"/>
      <c r="K142" s="89"/>
      <c r="L142" s="89"/>
      <c r="M142" s="89"/>
    </row>
    <row r="143" spans="1:13" s="59" customFormat="1" ht="31.5" customHeight="1" x14ac:dyDescent="0.2">
      <c r="A143" s="70" t="s">
        <v>171</v>
      </c>
      <c r="B143" s="68" t="s">
        <v>188</v>
      </c>
      <c r="C143" s="67" t="s">
        <v>262</v>
      </c>
      <c r="D143" s="68" t="s">
        <v>394</v>
      </c>
      <c r="E143" s="68">
        <v>242</v>
      </c>
      <c r="F143" s="131">
        <f>'ПР 7 ведом'!G487</f>
        <v>80.8</v>
      </c>
      <c r="G143" s="65"/>
      <c r="H143" s="89"/>
      <c r="I143" s="89"/>
      <c r="J143" s="89"/>
      <c r="K143" s="89"/>
      <c r="L143" s="89"/>
      <c r="M143" s="89"/>
    </row>
    <row r="144" spans="1:13" s="59" customFormat="1" ht="31.5" customHeight="1" x14ac:dyDescent="0.2">
      <c r="A144" s="70" t="s">
        <v>153</v>
      </c>
      <c r="B144" s="68" t="s">
        <v>188</v>
      </c>
      <c r="C144" s="67" t="s">
        <v>262</v>
      </c>
      <c r="D144" s="68" t="s">
        <v>394</v>
      </c>
      <c r="E144" s="68">
        <v>244</v>
      </c>
      <c r="F144" s="131">
        <f>'ПР 7 ведом'!G488</f>
        <v>19.2</v>
      </c>
      <c r="G144" s="65"/>
      <c r="H144" s="89"/>
      <c r="I144" s="89"/>
      <c r="J144" s="89"/>
      <c r="K144" s="89"/>
      <c r="L144" s="89"/>
      <c r="M144" s="89"/>
    </row>
    <row r="145" spans="1:13" s="59" customFormat="1" ht="10.5" customHeight="1" x14ac:dyDescent="0.2">
      <c r="A145" s="114" t="s">
        <v>395</v>
      </c>
      <c r="B145" s="84" t="s">
        <v>188</v>
      </c>
      <c r="C145" s="87" t="s">
        <v>262</v>
      </c>
      <c r="D145" s="84" t="s">
        <v>396</v>
      </c>
      <c r="E145" s="84"/>
      <c r="F145" s="131">
        <f>F146</f>
        <v>300</v>
      </c>
      <c r="G145" s="65"/>
      <c r="H145" s="89"/>
      <c r="I145" s="89"/>
      <c r="J145" s="89"/>
      <c r="K145" s="89"/>
      <c r="L145" s="89"/>
      <c r="M145" s="89"/>
    </row>
    <row r="146" spans="1:13" s="59" customFormat="1" ht="10.5" customHeight="1" x14ac:dyDescent="0.2">
      <c r="A146" s="114" t="s">
        <v>397</v>
      </c>
      <c r="B146" s="84" t="s">
        <v>188</v>
      </c>
      <c r="C146" s="87" t="s">
        <v>262</v>
      </c>
      <c r="D146" s="84" t="s">
        <v>398</v>
      </c>
      <c r="E146" s="84"/>
      <c r="F146" s="131">
        <f>F147</f>
        <v>300</v>
      </c>
      <c r="G146" s="65"/>
      <c r="H146" s="89"/>
      <c r="I146" s="89"/>
      <c r="J146" s="89"/>
      <c r="K146" s="89"/>
      <c r="L146" s="89"/>
      <c r="M146" s="89"/>
    </row>
    <row r="147" spans="1:13" s="59" customFormat="1" ht="10.5" customHeight="1" x14ac:dyDescent="0.2">
      <c r="A147" s="83" t="s">
        <v>650</v>
      </c>
      <c r="B147" s="84" t="s">
        <v>188</v>
      </c>
      <c r="C147" s="87" t="s">
        <v>262</v>
      </c>
      <c r="D147" s="84" t="s">
        <v>398</v>
      </c>
      <c r="E147" s="84">
        <v>200</v>
      </c>
      <c r="F147" s="131">
        <f>F148</f>
        <v>300</v>
      </c>
      <c r="G147" s="65"/>
      <c r="H147" s="89"/>
      <c r="I147" s="89"/>
      <c r="J147" s="89"/>
      <c r="K147" s="89"/>
      <c r="L147" s="89"/>
      <c r="M147" s="89"/>
    </row>
    <row r="148" spans="1:13" s="59" customFormat="1" ht="10.5" customHeight="1" x14ac:dyDescent="0.2">
      <c r="A148" s="83" t="s">
        <v>151</v>
      </c>
      <c r="B148" s="84" t="s">
        <v>188</v>
      </c>
      <c r="C148" s="87" t="s">
        <v>262</v>
      </c>
      <c r="D148" s="84" t="s">
        <v>398</v>
      </c>
      <c r="E148" s="84">
        <v>240</v>
      </c>
      <c r="F148" s="131">
        <f>F149</f>
        <v>300</v>
      </c>
      <c r="G148" s="65"/>
      <c r="H148" s="89"/>
      <c r="I148" s="89"/>
      <c r="J148" s="89"/>
      <c r="K148" s="89"/>
      <c r="L148" s="89"/>
      <c r="M148" s="89"/>
    </row>
    <row r="149" spans="1:13" s="59" customFormat="1" ht="10.5" customHeight="1" x14ac:dyDescent="0.2">
      <c r="A149" s="115" t="s">
        <v>153</v>
      </c>
      <c r="B149" s="84" t="s">
        <v>188</v>
      </c>
      <c r="C149" s="87" t="s">
        <v>262</v>
      </c>
      <c r="D149" s="84" t="s">
        <v>398</v>
      </c>
      <c r="E149" s="84">
        <v>244</v>
      </c>
      <c r="F149" s="131">
        <f>'ПР 7 ведом'!G493</f>
        <v>300</v>
      </c>
      <c r="G149" s="65"/>
      <c r="H149" s="89"/>
      <c r="I149" s="89"/>
      <c r="J149" s="89"/>
      <c r="K149" s="89"/>
      <c r="L149" s="89"/>
      <c r="M149" s="89"/>
    </row>
    <row r="150" spans="1:13" s="52" customFormat="1" ht="21" x14ac:dyDescent="0.2">
      <c r="A150" s="61" t="s">
        <v>399</v>
      </c>
      <c r="B150" s="96" t="s">
        <v>188</v>
      </c>
      <c r="C150" s="94" t="s">
        <v>353</v>
      </c>
      <c r="D150" s="96" t="s">
        <v>183</v>
      </c>
      <c r="E150" s="96" t="s">
        <v>184</v>
      </c>
      <c r="F150" s="138">
        <f>F151</f>
        <v>130</v>
      </c>
      <c r="G150" s="64"/>
      <c r="H150" s="90"/>
      <c r="I150" s="90"/>
      <c r="J150" s="90"/>
      <c r="K150" s="90"/>
      <c r="L150" s="90"/>
      <c r="M150" s="90"/>
    </row>
    <row r="151" spans="1:13" s="52" customFormat="1" ht="32.25" customHeight="1" x14ac:dyDescent="0.2">
      <c r="A151" s="61" t="s">
        <v>400</v>
      </c>
      <c r="B151" s="96" t="s">
        <v>188</v>
      </c>
      <c r="C151" s="94" t="s">
        <v>353</v>
      </c>
      <c r="D151" s="96" t="s">
        <v>401</v>
      </c>
      <c r="E151" s="96" t="s">
        <v>184</v>
      </c>
      <c r="F151" s="131">
        <f>F152+F156</f>
        <v>130</v>
      </c>
      <c r="G151" s="65"/>
      <c r="H151" s="90"/>
      <c r="I151" s="90"/>
      <c r="J151" s="90"/>
      <c r="K151" s="90"/>
      <c r="L151" s="90"/>
      <c r="M151" s="90"/>
    </row>
    <row r="152" spans="1:13" s="52" customFormat="1" ht="29.25" customHeight="1" x14ac:dyDescent="0.2">
      <c r="A152" s="83" t="s">
        <v>402</v>
      </c>
      <c r="B152" s="84" t="s">
        <v>188</v>
      </c>
      <c r="C152" s="84" t="s">
        <v>353</v>
      </c>
      <c r="D152" s="68" t="s">
        <v>403</v>
      </c>
      <c r="E152" s="84" t="s">
        <v>184</v>
      </c>
      <c r="F152" s="135">
        <f>+F153</f>
        <v>100</v>
      </c>
      <c r="G152" s="286"/>
      <c r="H152" s="90"/>
      <c r="I152" s="90"/>
      <c r="J152" s="90"/>
      <c r="K152" s="90"/>
      <c r="L152" s="90"/>
      <c r="M152" s="90"/>
    </row>
    <row r="153" spans="1:13" s="52" customFormat="1" ht="21.75" customHeight="1" x14ac:dyDescent="0.2">
      <c r="A153" s="66" t="s">
        <v>149</v>
      </c>
      <c r="B153" s="84" t="s">
        <v>188</v>
      </c>
      <c r="C153" s="84" t="s">
        <v>353</v>
      </c>
      <c r="D153" s="68" t="s">
        <v>403</v>
      </c>
      <c r="E153" s="84" t="s">
        <v>150</v>
      </c>
      <c r="F153" s="135">
        <f>+F154</f>
        <v>100</v>
      </c>
      <c r="G153" s="286"/>
      <c r="H153" s="90"/>
      <c r="I153" s="90"/>
      <c r="J153" s="90"/>
      <c r="K153" s="90"/>
      <c r="L153" s="90"/>
      <c r="M153" s="90"/>
    </row>
    <row r="154" spans="1:13" s="52" customFormat="1" ht="21.75" customHeight="1" x14ac:dyDescent="0.2">
      <c r="A154" s="66" t="s">
        <v>151</v>
      </c>
      <c r="B154" s="84" t="s">
        <v>188</v>
      </c>
      <c r="C154" s="84" t="s">
        <v>353</v>
      </c>
      <c r="D154" s="68" t="s">
        <v>403</v>
      </c>
      <c r="E154" s="84" t="s">
        <v>152</v>
      </c>
      <c r="F154" s="135">
        <f>+F155</f>
        <v>100</v>
      </c>
      <c r="G154" s="286"/>
      <c r="H154" s="90"/>
      <c r="I154" s="90"/>
      <c r="J154" s="90"/>
      <c r="K154" s="90"/>
      <c r="L154" s="90"/>
      <c r="M154" s="90"/>
    </row>
    <row r="155" spans="1:13" s="52" customFormat="1" ht="21.75" customHeight="1" x14ac:dyDescent="0.2">
      <c r="A155" s="70" t="s">
        <v>153</v>
      </c>
      <c r="B155" s="84" t="s">
        <v>188</v>
      </c>
      <c r="C155" s="84" t="s">
        <v>353</v>
      </c>
      <c r="D155" s="68" t="s">
        <v>403</v>
      </c>
      <c r="E155" s="84" t="s">
        <v>154</v>
      </c>
      <c r="F155" s="135">
        <f>'ПР 7 ведом'!G499</f>
        <v>100</v>
      </c>
      <c r="G155" s="286"/>
      <c r="H155" s="90"/>
      <c r="I155" s="90"/>
      <c r="J155" s="90"/>
      <c r="K155" s="90"/>
      <c r="L155" s="90"/>
      <c r="M155" s="90"/>
    </row>
    <row r="156" spans="1:13" s="52" customFormat="1" ht="21.75" customHeight="1" x14ac:dyDescent="0.2">
      <c r="A156" s="83" t="s">
        <v>404</v>
      </c>
      <c r="B156" s="84" t="s">
        <v>188</v>
      </c>
      <c r="C156" s="84" t="s">
        <v>353</v>
      </c>
      <c r="D156" s="68" t="s">
        <v>405</v>
      </c>
      <c r="E156" s="84" t="s">
        <v>184</v>
      </c>
      <c r="F156" s="135">
        <f>+F157</f>
        <v>30</v>
      </c>
      <c r="G156" s="286"/>
      <c r="H156" s="90"/>
      <c r="I156" s="90"/>
      <c r="J156" s="90"/>
      <c r="K156" s="90"/>
      <c r="L156" s="90"/>
      <c r="M156" s="90"/>
    </row>
    <row r="157" spans="1:13" s="52" customFormat="1" ht="21" customHeight="1" x14ac:dyDescent="0.2">
      <c r="A157" s="66" t="s">
        <v>149</v>
      </c>
      <c r="B157" s="84" t="s">
        <v>188</v>
      </c>
      <c r="C157" s="84" t="s">
        <v>353</v>
      </c>
      <c r="D157" s="68" t="s">
        <v>405</v>
      </c>
      <c r="E157" s="84" t="s">
        <v>150</v>
      </c>
      <c r="F157" s="135">
        <f>+F158</f>
        <v>30</v>
      </c>
      <c r="G157" s="286"/>
      <c r="H157" s="90"/>
      <c r="I157" s="90"/>
      <c r="J157" s="90"/>
      <c r="K157" s="90"/>
      <c r="L157" s="90"/>
      <c r="M157" s="90"/>
    </row>
    <row r="158" spans="1:13" s="52" customFormat="1" ht="21" customHeight="1" x14ac:dyDescent="0.2">
      <c r="A158" s="66" t="s">
        <v>151</v>
      </c>
      <c r="B158" s="84" t="s">
        <v>188</v>
      </c>
      <c r="C158" s="84" t="s">
        <v>353</v>
      </c>
      <c r="D158" s="68" t="s">
        <v>405</v>
      </c>
      <c r="E158" s="84" t="s">
        <v>152</v>
      </c>
      <c r="F158" s="135">
        <f>+F159</f>
        <v>30</v>
      </c>
      <c r="G158" s="286"/>
      <c r="H158" s="90"/>
      <c r="I158" s="90"/>
      <c r="J158" s="90"/>
      <c r="K158" s="90"/>
      <c r="L158" s="90"/>
      <c r="M158" s="90"/>
    </row>
    <row r="159" spans="1:13" s="52" customFormat="1" ht="21" customHeight="1" x14ac:dyDescent="0.2">
      <c r="A159" s="70" t="s">
        <v>153</v>
      </c>
      <c r="B159" s="84" t="s">
        <v>188</v>
      </c>
      <c r="C159" s="84" t="s">
        <v>353</v>
      </c>
      <c r="D159" s="68" t="s">
        <v>405</v>
      </c>
      <c r="E159" s="84" t="s">
        <v>154</v>
      </c>
      <c r="F159" s="135">
        <f>'ПР 7 ведом'!G503</f>
        <v>30</v>
      </c>
      <c r="G159" s="286"/>
      <c r="H159" s="90"/>
      <c r="I159" s="90"/>
      <c r="J159" s="90"/>
      <c r="K159" s="90"/>
      <c r="L159" s="90"/>
      <c r="M159" s="90"/>
    </row>
    <row r="160" spans="1:13" s="283" customFormat="1" x14ac:dyDescent="0.2">
      <c r="A160" s="341" t="s">
        <v>284</v>
      </c>
      <c r="B160" s="328" t="s">
        <v>160</v>
      </c>
      <c r="C160" s="337" t="s">
        <v>182</v>
      </c>
      <c r="D160" s="328" t="s">
        <v>183</v>
      </c>
      <c r="E160" s="328" t="s">
        <v>184</v>
      </c>
      <c r="F160" s="338">
        <f>F161+F185+F179</f>
        <v>7639.9</v>
      </c>
      <c r="G160" s="64"/>
      <c r="H160" s="157"/>
      <c r="I160" s="282"/>
      <c r="J160" s="282"/>
      <c r="K160" s="282"/>
      <c r="L160" s="282"/>
      <c r="M160" s="282"/>
    </row>
    <row r="161" spans="1:13" s="283" customFormat="1" x14ac:dyDescent="0.2">
      <c r="A161" s="61" t="s">
        <v>285</v>
      </c>
      <c r="B161" s="96" t="s">
        <v>160</v>
      </c>
      <c r="C161" s="94" t="s">
        <v>286</v>
      </c>
      <c r="D161" s="96" t="s">
        <v>183</v>
      </c>
      <c r="E161" s="96" t="s">
        <v>184</v>
      </c>
      <c r="F161" s="138">
        <f>F162</f>
        <v>2269.9</v>
      </c>
      <c r="G161" s="64"/>
      <c r="H161" s="282"/>
      <c r="I161" s="282"/>
      <c r="J161" s="282"/>
      <c r="K161" s="282"/>
      <c r="L161" s="282"/>
      <c r="M161" s="282"/>
    </row>
    <row r="162" spans="1:13" s="283" customFormat="1" ht="38.25" customHeight="1" x14ac:dyDescent="0.2">
      <c r="A162" s="61" t="s">
        <v>298</v>
      </c>
      <c r="B162" s="96" t="s">
        <v>160</v>
      </c>
      <c r="C162" s="94" t="s">
        <v>286</v>
      </c>
      <c r="D162" s="96" t="s">
        <v>288</v>
      </c>
      <c r="E162" s="68"/>
      <c r="F162" s="138">
        <f>F163</f>
        <v>2269.9</v>
      </c>
      <c r="G162" s="64"/>
      <c r="H162" s="287"/>
      <c r="I162" s="282"/>
      <c r="J162" s="282"/>
      <c r="K162" s="282"/>
      <c r="L162" s="282"/>
      <c r="M162" s="282"/>
    </row>
    <row r="163" spans="1:13" s="283" customFormat="1" ht="24" customHeight="1" x14ac:dyDescent="0.2">
      <c r="A163" s="66" t="s">
        <v>226</v>
      </c>
      <c r="B163" s="68" t="s">
        <v>160</v>
      </c>
      <c r="C163" s="67" t="s">
        <v>286</v>
      </c>
      <c r="D163" s="68" t="s">
        <v>289</v>
      </c>
      <c r="E163" s="68" t="s">
        <v>184</v>
      </c>
      <c r="F163" s="131">
        <f>F164</f>
        <v>2269.9</v>
      </c>
      <c r="G163" s="65"/>
      <c r="H163" s="282"/>
      <c r="I163" s="282"/>
      <c r="J163" s="282"/>
      <c r="K163" s="282"/>
      <c r="L163" s="282"/>
      <c r="M163" s="282"/>
    </row>
    <row r="164" spans="1:13" s="52" customFormat="1" ht="25.5" customHeight="1" x14ac:dyDescent="0.2">
      <c r="A164" s="66" t="s">
        <v>290</v>
      </c>
      <c r="B164" s="68" t="s">
        <v>160</v>
      </c>
      <c r="C164" s="67" t="s">
        <v>286</v>
      </c>
      <c r="D164" s="68" t="s">
        <v>291</v>
      </c>
      <c r="E164" s="68" t="s">
        <v>184</v>
      </c>
      <c r="F164" s="131">
        <f>F165+F169+F171+F175</f>
        <v>2269.9</v>
      </c>
      <c r="G164" s="65"/>
      <c r="H164" s="90"/>
      <c r="I164" s="90"/>
      <c r="J164" s="90"/>
      <c r="K164" s="90"/>
      <c r="L164" s="90"/>
      <c r="M164" s="90"/>
    </row>
    <row r="165" spans="1:13" s="52" customFormat="1" ht="45" x14ac:dyDescent="0.2">
      <c r="A165" s="66" t="s">
        <v>139</v>
      </c>
      <c r="B165" s="68" t="s">
        <v>160</v>
      </c>
      <c r="C165" s="67" t="s">
        <v>286</v>
      </c>
      <c r="D165" s="68" t="s">
        <v>292</v>
      </c>
      <c r="E165" s="68" t="s">
        <v>140</v>
      </c>
      <c r="F165" s="131">
        <f>F166</f>
        <v>1947.5</v>
      </c>
      <c r="G165" s="65"/>
      <c r="H165" s="90"/>
      <c r="I165" s="90"/>
      <c r="J165" s="90"/>
      <c r="K165" s="90"/>
      <c r="L165" s="90"/>
      <c r="M165" s="90"/>
    </row>
    <row r="166" spans="1:13" s="52" customFormat="1" ht="21" customHeight="1" x14ac:dyDescent="0.2">
      <c r="A166" s="66" t="s">
        <v>168</v>
      </c>
      <c r="B166" s="68" t="s">
        <v>160</v>
      </c>
      <c r="C166" s="67" t="s">
        <v>286</v>
      </c>
      <c r="D166" s="68" t="s">
        <v>292</v>
      </c>
      <c r="E166" s="68" t="s">
        <v>232</v>
      </c>
      <c r="F166" s="131">
        <f>F167+F168</f>
        <v>1947.5</v>
      </c>
      <c r="G166" s="65"/>
      <c r="H166" s="90"/>
      <c r="I166" s="90"/>
      <c r="J166" s="90"/>
      <c r="K166" s="90"/>
      <c r="L166" s="90"/>
      <c r="M166" s="90"/>
    </row>
    <row r="167" spans="1:13" s="52" customFormat="1" ht="12" customHeight="1" x14ac:dyDescent="0.2">
      <c r="A167" s="69" t="s">
        <v>169</v>
      </c>
      <c r="B167" s="68" t="s">
        <v>160</v>
      </c>
      <c r="C167" s="67" t="s">
        <v>286</v>
      </c>
      <c r="D167" s="68" t="s">
        <v>292</v>
      </c>
      <c r="E167" s="68">
        <v>121</v>
      </c>
      <c r="F167" s="131">
        <f>'ПР 7 ведом'!G309</f>
        <v>1495.8</v>
      </c>
      <c r="G167" s="65"/>
      <c r="H167" s="90"/>
      <c r="I167" s="90"/>
      <c r="J167" s="90"/>
      <c r="K167" s="90"/>
      <c r="L167" s="90"/>
      <c r="M167" s="90"/>
    </row>
    <row r="168" spans="1:13" s="52" customFormat="1" ht="36" customHeight="1" x14ac:dyDescent="0.2">
      <c r="A168" s="69" t="s">
        <v>170</v>
      </c>
      <c r="B168" s="68" t="s">
        <v>160</v>
      </c>
      <c r="C168" s="67" t="s">
        <v>286</v>
      </c>
      <c r="D168" s="68" t="s">
        <v>292</v>
      </c>
      <c r="E168" s="68">
        <v>129</v>
      </c>
      <c r="F168" s="131">
        <f>'ПР 7 ведом'!G310</f>
        <v>451.7</v>
      </c>
      <c r="G168" s="65"/>
      <c r="H168" s="90"/>
      <c r="I168" s="90"/>
      <c r="J168" s="90"/>
      <c r="K168" s="90"/>
      <c r="L168" s="90"/>
      <c r="M168" s="90"/>
    </row>
    <row r="169" spans="1:13" s="52" customFormat="1" ht="36" customHeight="1" x14ac:dyDescent="0.2">
      <c r="A169" s="83" t="s">
        <v>168</v>
      </c>
      <c r="B169" s="84" t="s">
        <v>160</v>
      </c>
      <c r="C169" s="87" t="s">
        <v>286</v>
      </c>
      <c r="D169" s="84" t="s">
        <v>294</v>
      </c>
      <c r="E169" s="68">
        <v>120</v>
      </c>
      <c r="F169" s="131">
        <f>F170</f>
        <v>190.9</v>
      </c>
      <c r="G169" s="65"/>
      <c r="H169" s="90"/>
      <c r="I169" s="90"/>
      <c r="J169" s="90"/>
      <c r="K169" s="90"/>
      <c r="L169" s="90"/>
      <c r="M169" s="90"/>
    </row>
    <row r="170" spans="1:13" s="52" customFormat="1" ht="36" customHeight="1" x14ac:dyDescent="0.2">
      <c r="A170" s="69" t="s">
        <v>293</v>
      </c>
      <c r="B170" s="84" t="s">
        <v>160</v>
      </c>
      <c r="C170" s="87" t="s">
        <v>286</v>
      </c>
      <c r="D170" s="84" t="s">
        <v>294</v>
      </c>
      <c r="E170" s="68">
        <v>122</v>
      </c>
      <c r="F170" s="131">
        <f>'ПР 7 ведом'!G313</f>
        <v>190.9</v>
      </c>
      <c r="G170" s="65"/>
      <c r="H170" s="90"/>
      <c r="I170" s="90"/>
      <c r="J170" s="90"/>
      <c r="K170" s="90"/>
      <c r="L170" s="90"/>
      <c r="M170" s="90"/>
    </row>
    <row r="171" spans="1:13" s="52" customFormat="1" ht="21" customHeight="1" x14ac:dyDescent="0.2">
      <c r="A171" s="66" t="s">
        <v>149</v>
      </c>
      <c r="B171" s="68" t="s">
        <v>160</v>
      </c>
      <c r="C171" s="67" t="s">
        <v>286</v>
      </c>
      <c r="D171" s="68" t="s">
        <v>294</v>
      </c>
      <c r="E171" s="68" t="s">
        <v>150</v>
      </c>
      <c r="F171" s="131">
        <f>F172</f>
        <v>130</v>
      </c>
      <c r="G171" s="65"/>
      <c r="H171" s="90"/>
      <c r="I171" s="90"/>
      <c r="J171" s="90"/>
      <c r="K171" s="90"/>
      <c r="L171" s="90"/>
      <c r="M171" s="90"/>
    </row>
    <row r="172" spans="1:13" s="52" customFormat="1" ht="21" customHeight="1" x14ac:dyDescent="0.2">
      <c r="A172" s="66" t="s">
        <v>151</v>
      </c>
      <c r="B172" s="68" t="s">
        <v>160</v>
      </c>
      <c r="C172" s="67" t="s">
        <v>286</v>
      </c>
      <c r="D172" s="68" t="s">
        <v>294</v>
      </c>
      <c r="E172" s="68" t="s">
        <v>152</v>
      </c>
      <c r="F172" s="131">
        <f>F174+F173</f>
        <v>130</v>
      </c>
      <c r="G172" s="65"/>
      <c r="H172" s="90"/>
      <c r="I172" s="90"/>
      <c r="J172" s="90"/>
      <c r="K172" s="90"/>
      <c r="L172" s="90"/>
      <c r="M172" s="90"/>
    </row>
    <row r="173" spans="1:13" s="52" customFormat="1" ht="21" customHeight="1" x14ac:dyDescent="0.2">
      <c r="A173" s="70" t="s">
        <v>171</v>
      </c>
      <c r="B173" s="68" t="s">
        <v>160</v>
      </c>
      <c r="C173" s="67" t="s">
        <v>286</v>
      </c>
      <c r="D173" s="68" t="s">
        <v>294</v>
      </c>
      <c r="E173" s="68">
        <v>242</v>
      </c>
      <c r="F173" s="131">
        <f>'ПР 7 ведом'!G316</f>
        <v>40.200000000000003</v>
      </c>
      <c r="G173" s="65"/>
      <c r="H173" s="90"/>
      <c r="I173" s="90"/>
      <c r="J173" s="90"/>
      <c r="K173" s="90"/>
      <c r="L173" s="90"/>
      <c r="M173" s="90"/>
    </row>
    <row r="174" spans="1:13" s="52" customFormat="1" ht="21" customHeight="1" x14ac:dyDescent="0.2">
      <c r="A174" s="70" t="s">
        <v>153</v>
      </c>
      <c r="B174" s="68" t="s">
        <v>160</v>
      </c>
      <c r="C174" s="67" t="s">
        <v>286</v>
      </c>
      <c r="D174" s="68" t="s">
        <v>294</v>
      </c>
      <c r="E174" s="68" t="s">
        <v>154</v>
      </c>
      <c r="F174" s="131">
        <f>'ПР 7 ведом'!G317</f>
        <v>89.8</v>
      </c>
      <c r="G174" s="65"/>
      <c r="H174" s="90"/>
      <c r="I174" s="90"/>
      <c r="J174" s="90"/>
      <c r="K174" s="90"/>
      <c r="L174" s="90"/>
      <c r="M174" s="90"/>
    </row>
    <row r="175" spans="1:13" s="52" customFormat="1" ht="21" customHeight="1" x14ac:dyDescent="0.2">
      <c r="A175" s="70" t="s">
        <v>172</v>
      </c>
      <c r="B175" s="68" t="s">
        <v>160</v>
      </c>
      <c r="C175" s="67" t="s">
        <v>286</v>
      </c>
      <c r="D175" s="68" t="s">
        <v>294</v>
      </c>
      <c r="E175" s="68" t="s">
        <v>235</v>
      </c>
      <c r="F175" s="131">
        <f>F176</f>
        <v>1.5</v>
      </c>
      <c r="G175" s="65"/>
      <c r="H175" s="90"/>
      <c r="I175" s="90"/>
      <c r="J175" s="90"/>
      <c r="K175" s="90"/>
      <c r="L175" s="90"/>
      <c r="M175" s="90"/>
    </row>
    <row r="176" spans="1:13" s="52" customFormat="1" ht="21" customHeight="1" x14ac:dyDescent="0.2">
      <c r="A176" s="70" t="s">
        <v>173</v>
      </c>
      <c r="B176" s="68" t="s">
        <v>160</v>
      </c>
      <c r="C176" s="67" t="s">
        <v>286</v>
      </c>
      <c r="D176" s="68" t="s">
        <v>294</v>
      </c>
      <c r="E176" s="68" t="s">
        <v>174</v>
      </c>
      <c r="F176" s="131">
        <f>F177</f>
        <v>1.5</v>
      </c>
      <c r="G176" s="65"/>
      <c r="H176" s="90"/>
      <c r="I176" s="90"/>
      <c r="J176" s="90"/>
      <c r="K176" s="90"/>
      <c r="L176" s="90"/>
      <c r="M176" s="90"/>
    </row>
    <row r="177" spans="1:13" s="52" customFormat="1" ht="16.5" customHeight="1" x14ac:dyDescent="0.2">
      <c r="A177" s="70" t="s">
        <v>236</v>
      </c>
      <c r="B177" s="68" t="s">
        <v>160</v>
      </c>
      <c r="C177" s="67" t="s">
        <v>286</v>
      </c>
      <c r="D177" s="68" t="s">
        <v>294</v>
      </c>
      <c r="E177" s="68" t="s">
        <v>258</v>
      </c>
      <c r="F177" s="131">
        <f>'ПР 7 ведом'!G320</f>
        <v>1.5</v>
      </c>
      <c r="G177" s="65"/>
      <c r="H177" s="90"/>
      <c r="I177" s="90"/>
      <c r="J177" s="90"/>
      <c r="K177" s="90"/>
      <c r="L177" s="90"/>
      <c r="M177" s="90"/>
    </row>
    <row r="178" spans="1:13" s="52" customFormat="1" ht="16.5" customHeight="1" x14ac:dyDescent="0.2">
      <c r="A178" s="61" t="s">
        <v>284</v>
      </c>
      <c r="B178" s="96" t="s">
        <v>160</v>
      </c>
      <c r="C178" s="94"/>
      <c r="D178" s="68"/>
      <c r="E178" s="68"/>
      <c r="F178" s="138">
        <f>F179+F185</f>
        <v>5370</v>
      </c>
      <c r="G178" s="65"/>
      <c r="H178" s="90"/>
      <c r="I178" s="90"/>
      <c r="J178" s="90"/>
      <c r="K178" s="90"/>
      <c r="L178" s="90"/>
      <c r="M178" s="90"/>
    </row>
    <row r="179" spans="1:13" s="52" customFormat="1" x14ac:dyDescent="0.2">
      <c r="A179" s="212" t="s">
        <v>407</v>
      </c>
      <c r="B179" s="67" t="s">
        <v>160</v>
      </c>
      <c r="C179" s="67" t="s">
        <v>262</v>
      </c>
      <c r="D179" s="96"/>
      <c r="E179" s="96"/>
      <c r="F179" s="138">
        <f>F180</f>
        <v>3809</v>
      </c>
      <c r="G179" s="64"/>
      <c r="H179" s="148"/>
      <c r="I179" s="90"/>
      <c r="J179" s="90"/>
      <c r="K179" s="90"/>
      <c r="L179" s="90"/>
      <c r="M179" s="90"/>
    </row>
    <row r="180" spans="1:13" s="52" customFormat="1" ht="42" x14ac:dyDescent="0.2">
      <c r="A180" s="61" t="s">
        <v>408</v>
      </c>
      <c r="B180" s="94" t="s">
        <v>160</v>
      </c>
      <c r="C180" s="94" t="s">
        <v>262</v>
      </c>
      <c r="D180" s="96" t="s">
        <v>409</v>
      </c>
      <c r="E180" s="96"/>
      <c r="F180" s="138">
        <f>F181</f>
        <v>3809</v>
      </c>
      <c r="G180" s="64"/>
      <c r="H180" s="90"/>
      <c r="I180" s="90"/>
      <c r="J180" s="90"/>
      <c r="K180" s="90"/>
      <c r="L180" s="90"/>
      <c r="M180" s="90"/>
    </row>
    <row r="181" spans="1:13" s="52" customFormat="1" ht="135" x14ac:dyDescent="0.2">
      <c r="A181" s="71" t="s">
        <v>410</v>
      </c>
      <c r="B181" s="67" t="s">
        <v>160</v>
      </c>
      <c r="C181" s="67" t="s">
        <v>262</v>
      </c>
      <c r="D181" s="68" t="s">
        <v>409</v>
      </c>
      <c r="E181" s="68"/>
      <c r="F181" s="131">
        <f>F182</f>
        <v>3809</v>
      </c>
      <c r="G181" s="65"/>
      <c r="H181" s="90"/>
      <c r="I181" s="90"/>
      <c r="J181" s="90"/>
      <c r="K181" s="90"/>
      <c r="L181" s="90"/>
      <c r="M181" s="90"/>
    </row>
    <row r="182" spans="1:13" s="52" customFormat="1" ht="26.25" customHeight="1" x14ac:dyDescent="0.2">
      <c r="A182" s="66" t="s">
        <v>149</v>
      </c>
      <c r="B182" s="67" t="s">
        <v>160</v>
      </c>
      <c r="C182" s="67" t="s">
        <v>262</v>
      </c>
      <c r="D182" s="68" t="s">
        <v>409</v>
      </c>
      <c r="E182" s="68" t="s">
        <v>150</v>
      </c>
      <c r="F182" s="131">
        <f>F183</f>
        <v>3809</v>
      </c>
      <c r="G182" s="65"/>
      <c r="H182" s="90"/>
      <c r="I182" s="90"/>
      <c r="J182" s="90"/>
      <c r="K182" s="90"/>
      <c r="L182" s="90"/>
      <c r="M182" s="90"/>
    </row>
    <row r="183" spans="1:13" s="52" customFormat="1" ht="26.25" customHeight="1" x14ac:dyDescent="0.2">
      <c r="A183" s="66" t="s">
        <v>151</v>
      </c>
      <c r="B183" s="67" t="s">
        <v>160</v>
      </c>
      <c r="C183" s="67" t="s">
        <v>262</v>
      </c>
      <c r="D183" s="68" t="s">
        <v>409</v>
      </c>
      <c r="E183" s="68" t="s">
        <v>152</v>
      </c>
      <c r="F183" s="131">
        <f>F184</f>
        <v>3809</v>
      </c>
      <c r="G183" s="65"/>
      <c r="H183" s="90"/>
      <c r="I183" s="90"/>
      <c r="J183" s="90"/>
      <c r="K183" s="90"/>
      <c r="L183" s="90"/>
      <c r="M183" s="90"/>
    </row>
    <row r="184" spans="1:13" s="52" customFormat="1" ht="26.25" customHeight="1" x14ac:dyDescent="0.2">
      <c r="A184" s="70" t="s">
        <v>153</v>
      </c>
      <c r="B184" s="67" t="s">
        <v>160</v>
      </c>
      <c r="C184" s="67" t="s">
        <v>262</v>
      </c>
      <c r="D184" s="68" t="s">
        <v>409</v>
      </c>
      <c r="E184" s="68" t="s">
        <v>154</v>
      </c>
      <c r="F184" s="131">
        <f>'ПР 7 ведом'!G510</f>
        <v>3809</v>
      </c>
      <c r="G184" s="65"/>
      <c r="H184" s="90"/>
      <c r="I184" s="90"/>
      <c r="J184" s="90"/>
      <c r="K184" s="90"/>
      <c r="L184" s="90"/>
      <c r="M184" s="90"/>
    </row>
    <row r="185" spans="1:13" s="52" customFormat="1" x14ac:dyDescent="0.2">
      <c r="A185" s="61" t="s">
        <v>296</v>
      </c>
      <c r="B185" s="96" t="s">
        <v>160</v>
      </c>
      <c r="C185" s="94" t="s">
        <v>297</v>
      </c>
      <c r="D185" s="96"/>
      <c r="E185" s="96"/>
      <c r="F185" s="288">
        <f>F186+F217+F231+F236+F241</f>
        <v>1561</v>
      </c>
      <c r="G185" s="289"/>
      <c r="H185" s="156"/>
      <c r="I185" s="90"/>
      <c r="J185" s="90"/>
      <c r="K185" s="90"/>
      <c r="L185" s="90"/>
      <c r="M185" s="90"/>
    </row>
    <row r="186" spans="1:13" s="52" customFormat="1" ht="21" customHeight="1" x14ac:dyDescent="0.2">
      <c r="A186" s="66" t="s">
        <v>646</v>
      </c>
      <c r="B186" s="67" t="s">
        <v>160</v>
      </c>
      <c r="C186" s="67" t="s">
        <v>297</v>
      </c>
      <c r="D186" s="68" t="s">
        <v>288</v>
      </c>
      <c r="E186" s="68" t="s">
        <v>184</v>
      </c>
      <c r="F186" s="290">
        <f>F187+F212+F208</f>
        <v>700</v>
      </c>
      <c r="G186" s="291"/>
      <c r="H186" s="90"/>
      <c r="I186" s="90"/>
      <c r="J186" s="90"/>
      <c r="K186" s="90"/>
      <c r="L186" s="90"/>
      <c r="M186" s="90"/>
    </row>
    <row r="187" spans="1:13" s="52" customFormat="1" ht="21" customHeight="1" x14ac:dyDescent="0.2">
      <c r="A187" s="66" t="s">
        <v>299</v>
      </c>
      <c r="B187" s="67" t="s">
        <v>160</v>
      </c>
      <c r="C187" s="67" t="s">
        <v>297</v>
      </c>
      <c r="D187" s="68" t="s">
        <v>300</v>
      </c>
      <c r="E187" s="68"/>
      <c r="F187" s="290">
        <f>F188+F192+F196+F200+F204</f>
        <v>440</v>
      </c>
      <c r="G187" s="291"/>
      <c r="H187" s="90"/>
      <c r="I187" s="90"/>
      <c r="J187" s="90"/>
      <c r="K187" s="90"/>
      <c r="L187" s="90"/>
      <c r="M187" s="90"/>
    </row>
    <row r="188" spans="1:13" s="52" customFormat="1" ht="21" customHeight="1" x14ac:dyDescent="0.2">
      <c r="A188" s="66" t="s">
        <v>301</v>
      </c>
      <c r="B188" s="67" t="s">
        <v>160</v>
      </c>
      <c r="C188" s="67" t="s">
        <v>297</v>
      </c>
      <c r="D188" s="68" t="s">
        <v>302</v>
      </c>
      <c r="E188" s="68"/>
      <c r="F188" s="290">
        <f>F189</f>
        <v>80</v>
      </c>
      <c r="G188" s="291"/>
      <c r="H188" s="90"/>
      <c r="I188" s="90"/>
      <c r="J188" s="90"/>
      <c r="K188" s="90"/>
      <c r="L188" s="90"/>
      <c r="M188" s="90"/>
    </row>
    <row r="189" spans="1:13" s="52" customFormat="1" ht="21.75" customHeight="1" x14ac:dyDescent="0.2">
      <c r="A189" s="66" t="s">
        <v>149</v>
      </c>
      <c r="B189" s="67" t="s">
        <v>160</v>
      </c>
      <c r="C189" s="67" t="s">
        <v>297</v>
      </c>
      <c r="D189" s="68" t="s">
        <v>302</v>
      </c>
      <c r="E189" s="68" t="s">
        <v>150</v>
      </c>
      <c r="F189" s="290">
        <f>F190</f>
        <v>80</v>
      </c>
      <c r="G189" s="291"/>
      <c r="H189" s="90"/>
      <c r="I189" s="90"/>
      <c r="J189" s="90"/>
      <c r="K189" s="90"/>
      <c r="L189" s="90"/>
      <c r="M189" s="90"/>
    </row>
    <row r="190" spans="1:13" s="52" customFormat="1" ht="21.75" customHeight="1" x14ac:dyDescent="0.2">
      <c r="A190" s="66" t="s">
        <v>151</v>
      </c>
      <c r="B190" s="67" t="s">
        <v>160</v>
      </c>
      <c r="C190" s="67" t="s">
        <v>297</v>
      </c>
      <c r="D190" s="68" t="s">
        <v>302</v>
      </c>
      <c r="E190" s="68" t="s">
        <v>152</v>
      </c>
      <c r="F190" s="290">
        <f>F191</f>
        <v>80</v>
      </c>
      <c r="G190" s="291"/>
      <c r="H190" s="90"/>
      <c r="I190" s="90"/>
      <c r="J190" s="90"/>
      <c r="K190" s="90"/>
      <c r="L190" s="90"/>
      <c r="M190" s="90"/>
    </row>
    <row r="191" spans="1:13" s="52" customFormat="1" ht="21.75" customHeight="1" x14ac:dyDescent="0.2">
      <c r="A191" s="70" t="s">
        <v>153</v>
      </c>
      <c r="B191" s="67" t="s">
        <v>160</v>
      </c>
      <c r="C191" s="67" t="s">
        <v>297</v>
      </c>
      <c r="D191" s="68" t="s">
        <v>302</v>
      </c>
      <c r="E191" s="68" t="s">
        <v>154</v>
      </c>
      <c r="F191" s="290">
        <f>'ПР 7 ведом'!G327</f>
        <v>80</v>
      </c>
      <c r="G191" s="291"/>
      <c r="H191" s="90"/>
      <c r="I191" s="90"/>
      <c r="J191" s="90"/>
      <c r="K191" s="90"/>
      <c r="L191" s="90"/>
      <c r="M191" s="90"/>
    </row>
    <row r="192" spans="1:13" s="52" customFormat="1" ht="30.75" customHeight="1" x14ac:dyDescent="0.2">
      <c r="A192" s="66" t="s">
        <v>303</v>
      </c>
      <c r="B192" s="67" t="s">
        <v>160</v>
      </c>
      <c r="C192" s="67" t="s">
        <v>297</v>
      </c>
      <c r="D192" s="68" t="s">
        <v>304</v>
      </c>
      <c r="E192" s="68"/>
      <c r="F192" s="290">
        <f>F193</f>
        <v>30</v>
      </c>
      <c r="G192" s="291"/>
      <c r="H192" s="90"/>
      <c r="I192" s="90"/>
      <c r="J192" s="90"/>
      <c r="K192" s="90"/>
      <c r="L192" s="90"/>
      <c r="M192" s="90"/>
    </row>
    <row r="193" spans="1:13" s="52" customFormat="1" ht="22.5" customHeight="1" x14ac:dyDescent="0.2">
      <c r="A193" s="66" t="s">
        <v>149</v>
      </c>
      <c r="B193" s="67" t="s">
        <v>160</v>
      </c>
      <c r="C193" s="67" t="s">
        <v>297</v>
      </c>
      <c r="D193" s="68" t="s">
        <v>304</v>
      </c>
      <c r="E193" s="68" t="s">
        <v>150</v>
      </c>
      <c r="F193" s="290">
        <f>F194</f>
        <v>30</v>
      </c>
      <c r="G193" s="291"/>
      <c r="H193" s="90"/>
      <c r="I193" s="90"/>
      <c r="J193" s="90"/>
      <c r="K193" s="90"/>
      <c r="L193" s="90"/>
      <c r="M193" s="90"/>
    </row>
    <row r="194" spans="1:13" s="52" customFormat="1" ht="22.5" customHeight="1" x14ac:dyDescent="0.2">
      <c r="A194" s="66" t="s">
        <v>151</v>
      </c>
      <c r="B194" s="67" t="s">
        <v>160</v>
      </c>
      <c r="C194" s="67" t="s">
        <v>297</v>
      </c>
      <c r="D194" s="68" t="s">
        <v>304</v>
      </c>
      <c r="E194" s="68" t="s">
        <v>152</v>
      </c>
      <c r="F194" s="290">
        <f>F195</f>
        <v>30</v>
      </c>
      <c r="G194" s="291"/>
      <c r="H194" s="90"/>
      <c r="I194" s="90"/>
      <c r="J194" s="90"/>
      <c r="K194" s="90"/>
      <c r="L194" s="90"/>
      <c r="M194" s="90"/>
    </row>
    <row r="195" spans="1:13" s="52" customFormat="1" ht="22.5" customHeight="1" x14ac:dyDescent="0.2">
      <c r="A195" s="70" t="s">
        <v>153</v>
      </c>
      <c r="B195" s="67" t="s">
        <v>160</v>
      </c>
      <c r="C195" s="67" t="s">
        <v>297</v>
      </c>
      <c r="D195" s="68" t="s">
        <v>304</v>
      </c>
      <c r="E195" s="68" t="s">
        <v>154</v>
      </c>
      <c r="F195" s="290">
        <f>'ПР 7 ведом'!G331</f>
        <v>30</v>
      </c>
      <c r="G195" s="291"/>
      <c r="H195" s="90"/>
      <c r="I195" s="90"/>
      <c r="J195" s="90"/>
      <c r="K195" s="90"/>
      <c r="L195" s="90"/>
      <c r="M195" s="90"/>
    </row>
    <row r="196" spans="1:13" s="52" customFormat="1" ht="15.75" customHeight="1" x14ac:dyDescent="0.2">
      <c r="A196" s="66" t="s">
        <v>305</v>
      </c>
      <c r="B196" s="67" t="s">
        <v>160</v>
      </c>
      <c r="C196" s="67" t="s">
        <v>297</v>
      </c>
      <c r="D196" s="68" t="s">
        <v>306</v>
      </c>
      <c r="E196" s="68"/>
      <c r="F196" s="290">
        <f>F197</f>
        <v>100</v>
      </c>
      <c r="G196" s="291"/>
      <c r="H196" s="90"/>
      <c r="I196" s="90"/>
      <c r="J196" s="90"/>
      <c r="K196" s="90"/>
      <c r="L196" s="90"/>
      <c r="M196" s="90"/>
    </row>
    <row r="197" spans="1:13" s="52" customFormat="1" ht="24" customHeight="1" x14ac:dyDescent="0.2">
      <c r="A197" s="66" t="s">
        <v>149</v>
      </c>
      <c r="B197" s="67" t="s">
        <v>160</v>
      </c>
      <c r="C197" s="67" t="s">
        <v>297</v>
      </c>
      <c r="D197" s="68" t="s">
        <v>306</v>
      </c>
      <c r="E197" s="68" t="s">
        <v>150</v>
      </c>
      <c r="F197" s="290">
        <f>F198</f>
        <v>100</v>
      </c>
      <c r="G197" s="291"/>
      <c r="H197" s="90"/>
      <c r="I197" s="90"/>
      <c r="J197" s="90"/>
      <c r="K197" s="90"/>
      <c r="L197" s="90"/>
      <c r="M197" s="90"/>
    </row>
    <row r="198" spans="1:13" s="52" customFormat="1" ht="19.5" customHeight="1" x14ac:dyDescent="0.2">
      <c r="A198" s="66" t="s">
        <v>151</v>
      </c>
      <c r="B198" s="67" t="s">
        <v>160</v>
      </c>
      <c r="C198" s="67" t="s">
        <v>297</v>
      </c>
      <c r="D198" s="68" t="s">
        <v>306</v>
      </c>
      <c r="E198" s="68" t="s">
        <v>152</v>
      </c>
      <c r="F198" s="290">
        <f>F199</f>
        <v>100</v>
      </c>
      <c r="G198" s="291"/>
      <c r="H198" s="90"/>
      <c r="I198" s="90"/>
      <c r="J198" s="90"/>
      <c r="K198" s="90"/>
      <c r="L198" s="90"/>
      <c r="M198" s="90"/>
    </row>
    <row r="199" spans="1:13" s="52" customFormat="1" ht="19.5" customHeight="1" x14ac:dyDescent="0.2">
      <c r="A199" s="70" t="s">
        <v>153</v>
      </c>
      <c r="B199" s="67" t="s">
        <v>160</v>
      </c>
      <c r="C199" s="67" t="s">
        <v>297</v>
      </c>
      <c r="D199" s="68" t="s">
        <v>306</v>
      </c>
      <c r="E199" s="68" t="s">
        <v>154</v>
      </c>
      <c r="F199" s="290">
        <f>'ПР 7 ведом'!G335</f>
        <v>100</v>
      </c>
      <c r="G199" s="291"/>
      <c r="H199" s="90"/>
      <c r="I199" s="90"/>
      <c r="J199" s="90"/>
      <c r="K199" s="90"/>
      <c r="L199" s="90"/>
      <c r="M199" s="90"/>
    </row>
    <row r="200" spans="1:13" s="52" customFormat="1" ht="30.75" customHeight="1" x14ac:dyDescent="0.2">
      <c r="A200" s="66" t="s">
        <v>307</v>
      </c>
      <c r="B200" s="67" t="s">
        <v>160</v>
      </c>
      <c r="C200" s="67" t="s">
        <v>297</v>
      </c>
      <c r="D200" s="68" t="s">
        <v>308</v>
      </c>
      <c r="E200" s="68"/>
      <c r="F200" s="290">
        <f>F201</f>
        <v>200</v>
      </c>
      <c r="G200" s="291"/>
      <c r="H200" s="90"/>
      <c r="I200" s="90"/>
      <c r="J200" s="90"/>
      <c r="K200" s="90"/>
      <c r="L200" s="90"/>
      <c r="M200" s="90"/>
    </row>
    <row r="201" spans="1:13" s="52" customFormat="1" ht="24" customHeight="1" x14ac:dyDescent="0.2">
      <c r="A201" s="66" t="s">
        <v>149</v>
      </c>
      <c r="B201" s="67" t="s">
        <v>160</v>
      </c>
      <c r="C201" s="67" t="s">
        <v>297</v>
      </c>
      <c r="D201" s="68" t="s">
        <v>308</v>
      </c>
      <c r="E201" s="68" t="s">
        <v>150</v>
      </c>
      <c r="F201" s="290">
        <f>F202</f>
        <v>200</v>
      </c>
      <c r="G201" s="291"/>
      <c r="H201" s="90"/>
      <c r="I201" s="90"/>
      <c r="J201" s="90"/>
      <c r="K201" s="90"/>
      <c r="L201" s="90"/>
      <c r="M201" s="90"/>
    </row>
    <row r="202" spans="1:13" s="52" customFormat="1" ht="24" customHeight="1" x14ac:dyDescent="0.2">
      <c r="A202" s="66" t="s">
        <v>151</v>
      </c>
      <c r="B202" s="67" t="s">
        <v>160</v>
      </c>
      <c r="C202" s="67" t="s">
        <v>297</v>
      </c>
      <c r="D202" s="68" t="s">
        <v>308</v>
      </c>
      <c r="E202" s="68" t="s">
        <v>152</v>
      </c>
      <c r="F202" s="290">
        <f>F203</f>
        <v>200</v>
      </c>
      <c r="G202" s="291"/>
      <c r="H202" s="90"/>
      <c r="I202" s="90"/>
      <c r="J202" s="90"/>
      <c r="K202" s="90"/>
      <c r="L202" s="90"/>
      <c r="M202" s="90"/>
    </row>
    <row r="203" spans="1:13" s="52" customFormat="1" ht="24" customHeight="1" x14ac:dyDescent="0.2">
      <c r="A203" s="70" t="s">
        <v>153</v>
      </c>
      <c r="B203" s="67" t="s">
        <v>160</v>
      </c>
      <c r="C203" s="67" t="s">
        <v>297</v>
      </c>
      <c r="D203" s="68" t="s">
        <v>308</v>
      </c>
      <c r="E203" s="68" t="s">
        <v>154</v>
      </c>
      <c r="F203" s="290">
        <f>'ПР 7 ведом'!G339</f>
        <v>200</v>
      </c>
      <c r="G203" s="291"/>
      <c r="H203" s="90"/>
      <c r="I203" s="90"/>
      <c r="J203" s="90"/>
      <c r="K203" s="90"/>
      <c r="L203" s="90"/>
      <c r="M203" s="90"/>
    </row>
    <row r="204" spans="1:13" s="52" customFormat="1" ht="12.75" customHeight="1" x14ac:dyDescent="0.2">
      <c r="A204" s="66" t="s">
        <v>309</v>
      </c>
      <c r="B204" s="67" t="s">
        <v>160</v>
      </c>
      <c r="C204" s="67" t="s">
        <v>297</v>
      </c>
      <c r="D204" s="68" t="s">
        <v>310</v>
      </c>
      <c r="E204" s="68"/>
      <c r="F204" s="290">
        <f>F205</f>
        <v>30</v>
      </c>
      <c r="G204" s="291"/>
      <c r="H204" s="90"/>
      <c r="I204" s="90"/>
      <c r="J204" s="90"/>
      <c r="K204" s="90"/>
      <c r="L204" s="90"/>
      <c r="M204" s="90"/>
    </row>
    <row r="205" spans="1:13" s="52" customFormat="1" ht="25.5" customHeight="1" x14ac:dyDescent="0.2">
      <c r="A205" s="66" t="s">
        <v>149</v>
      </c>
      <c r="B205" s="67" t="s">
        <v>160</v>
      </c>
      <c r="C205" s="67" t="s">
        <v>297</v>
      </c>
      <c r="D205" s="68" t="s">
        <v>310</v>
      </c>
      <c r="E205" s="68" t="s">
        <v>150</v>
      </c>
      <c r="F205" s="290">
        <f>F206</f>
        <v>30</v>
      </c>
      <c r="G205" s="291"/>
      <c r="H205" s="90"/>
      <c r="I205" s="90"/>
      <c r="J205" s="90"/>
      <c r="K205" s="90"/>
      <c r="L205" s="90"/>
      <c r="M205" s="90"/>
    </row>
    <row r="206" spans="1:13" s="52" customFormat="1" ht="27" customHeight="1" x14ac:dyDescent="0.2">
      <c r="A206" s="66" t="s">
        <v>151</v>
      </c>
      <c r="B206" s="67" t="s">
        <v>160</v>
      </c>
      <c r="C206" s="67" t="s">
        <v>297</v>
      </c>
      <c r="D206" s="68" t="s">
        <v>310</v>
      </c>
      <c r="E206" s="68" t="s">
        <v>152</v>
      </c>
      <c r="F206" s="290">
        <f>F207</f>
        <v>30</v>
      </c>
      <c r="G206" s="291"/>
      <c r="H206" s="90"/>
      <c r="I206" s="90"/>
      <c r="J206" s="90"/>
      <c r="K206" s="90"/>
      <c r="L206" s="90"/>
      <c r="M206" s="90"/>
    </row>
    <row r="207" spans="1:13" s="52" customFormat="1" ht="27" customHeight="1" x14ac:dyDescent="0.2">
      <c r="A207" s="70" t="s">
        <v>153</v>
      </c>
      <c r="B207" s="67" t="s">
        <v>160</v>
      </c>
      <c r="C207" s="67" t="s">
        <v>297</v>
      </c>
      <c r="D207" s="68" t="s">
        <v>310</v>
      </c>
      <c r="E207" s="68" t="s">
        <v>154</v>
      </c>
      <c r="F207" s="290">
        <f>'ПР 7 ведом'!G343</f>
        <v>30</v>
      </c>
      <c r="G207" s="291"/>
      <c r="H207" s="90"/>
      <c r="I207" s="90"/>
      <c r="J207" s="90"/>
      <c r="K207" s="90"/>
      <c r="L207" s="90"/>
      <c r="M207" s="90"/>
    </row>
    <row r="208" spans="1:13" s="52" customFormat="1" ht="27" customHeight="1" x14ac:dyDescent="0.2">
      <c r="A208" s="70" t="s">
        <v>311</v>
      </c>
      <c r="B208" s="67" t="s">
        <v>160</v>
      </c>
      <c r="C208" s="67" t="s">
        <v>297</v>
      </c>
      <c r="D208" s="68" t="s">
        <v>312</v>
      </c>
      <c r="E208" s="68"/>
      <c r="F208" s="290">
        <f>F209</f>
        <v>66.2</v>
      </c>
      <c r="G208" s="291"/>
      <c r="H208" s="90"/>
      <c r="I208" s="90"/>
      <c r="J208" s="90"/>
      <c r="K208" s="90"/>
      <c r="L208" s="90"/>
      <c r="M208" s="90"/>
    </row>
    <row r="209" spans="1:13" s="52" customFormat="1" x14ac:dyDescent="0.2">
      <c r="A209" s="66" t="s">
        <v>313</v>
      </c>
      <c r="B209" s="67" t="s">
        <v>160</v>
      </c>
      <c r="C209" s="67" t="s">
        <v>297</v>
      </c>
      <c r="D209" s="68" t="s">
        <v>314</v>
      </c>
      <c r="E209" s="68"/>
      <c r="F209" s="290">
        <f>F210</f>
        <v>66.2</v>
      </c>
      <c r="G209" s="291"/>
      <c r="H209" s="90"/>
      <c r="I209" s="90"/>
      <c r="J209" s="90"/>
      <c r="K209" s="90"/>
      <c r="L209" s="90"/>
      <c r="M209" s="90"/>
    </row>
    <row r="210" spans="1:13" s="52" customFormat="1" x14ac:dyDescent="0.2">
      <c r="A210" s="66" t="s">
        <v>172</v>
      </c>
      <c r="B210" s="67" t="s">
        <v>160</v>
      </c>
      <c r="C210" s="67" t="s">
        <v>297</v>
      </c>
      <c r="D210" s="68" t="s">
        <v>314</v>
      </c>
      <c r="E210" s="68">
        <v>800</v>
      </c>
      <c r="F210" s="290">
        <f>F211</f>
        <v>66.2</v>
      </c>
      <c r="G210" s="291"/>
      <c r="H210" s="90"/>
      <c r="I210" s="90"/>
      <c r="J210" s="90"/>
      <c r="K210" s="90"/>
      <c r="L210" s="90"/>
      <c r="M210" s="90"/>
    </row>
    <row r="211" spans="1:13" s="52" customFormat="1" ht="38.25" customHeight="1" x14ac:dyDescent="0.2">
      <c r="A211" s="70" t="s">
        <v>315</v>
      </c>
      <c r="B211" s="67" t="s">
        <v>160</v>
      </c>
      <c r="C211" s="67" t="s">
        <v>297</v>
      </c>
      <c r="D211" s="68" t="s">
        <v>314</v>
      </c>
      <c r="E211" s="68">
        <v>810</v>
      </c>
      <c r="F211" s="290">
        <f>'ПР 7 ведом'!G347</f>
        <v>66.2</v>
      </c>
      <c r="G211" s="291"/>
      <c r="H211" s="90"/>
      <c r="I211" s="90"/>
      <c r="J211" s="90"/>
      <c r="K211" s="90"/>
      <c r="L211" s="90"/>
      <c r="M211" s="90"/>
    </row>
    <row r="212" spans="1:13" s="52" customFormat="1" ht="27" customHeight="1" x14ac:dyDescent="0.2">
      <c r="A212" s="66" t="s">
        <v>316</v>
      </c>
      <c r="B212" s="67" t="s">
        <v>160</v>
      </c>
      <c r="C212" s="67" t="s">
        <v>297</v>
      </c>
      <c r="D212" s="68" t="s">
        <v>317</v>
      </c>
      <c r="E212" s="68"/>
      <c r="F212" s="290">
        <f>F213</f>
        <v>193.8</v>
      </c>
      <c r="G212" s="291"/>
      <c r="H212" s="90"/>
      <c r="I212" s="90"/>
      <c r="J212" s="90"/>
      <c r="K212" s="90"/>
      <c r="L212" s="90"/>
      <c r="M212" s="90"/>
    </row>
    <row r="213" spans="1:13" s="52" customFormat="1" ht="22.5" customHeight="1" x14ac:dyDescent="0.2">
      <c r="A213" s="66" t="s">
        <v>318</v>
      </c>
      <c r="B213" s="67" t="s">
        <v>160</v>
      </c>
      <c r="C213" s="67" t="s">
        <v>297</v>
      </c>
      <c r="D213" s="68" t="s">
        <v>319</v>
      </c>
      <c r="E213" s="68"/>
      <c r="F213" s="290">
        <f>F214</f>
        <v>193.8</v>
      </c>
      <c r="G213" s="291"/>
      <c r="H213" s="90"/>
      <c r="I213" s="90"/>
      <c r="J213" s="90"/>
      <c r="K213" s="90"/>
      <c r="L213" s="90"/>
      <c r="M213" s="90"/>
    </row>
    <row r="214" spans="1:13" s="52" customFormat="1" ht="22.5" customHeight="1" x14ac:dyDescent="0.2">
      <c r="A214" s="75" t="s">
        <v>197</v>
      </c>
      <c r="B214" s="67" t="s">
        <v>160</v>
      </c>
      <c r="C214" s="67" t="s">
        <v>297</v>
      </c>
      <c r="D214" s="68" t="s">
        <v>319</v>
      </c>
      <c r="E214" s="84">
        <v>300</v>
      </c>
      <c r="F214" s="290">
        <f>F215</f>
        <v>193.8</v>
      </c>
      <c r="G214" s="291"/>
      <c r="H214" s="90"/>
      <c r="I214" s="90"/>
      <c r="J214" s="90"/>
      <c r="K214" s="90"/>
      <c r="L214" s="90"/>
      <c r="M214" s="90"/>
    </row>
    <row r="215" spans="1:13" s="52" customFormat="1" ht="22.5" customHeight="1" x14ac:dyDescent="0.2">
      <c r="A215" s="83" t="s">
        <v>572</v>
      </c>
      <c r="B215" s="67" t="s">
        <v>160</v>
      </c>
      <c r="C215" s="67" t="s">
        <v>297</v>
      </c>
      <c r="D215" s="68" t="s">
        <v>319</v>
      </c>
      <c r="E215" s="84">
        <v>320</v>
      </c>
      <c r="F215" s="290">
        <f>F216</f>
        <v>193.8</v>
      </c>
      <c r="G215" s="291"/>
      <c r="H215" s="90"/>
      <c r="I215" s="90"/>
      <c r="J215" s="90"/>
      <c r="K215" s="90"/>
      <c r="L215" s="90"/>
      <c r="M215" s="90"/>
    </row>
    <row r="216" spans="1:13" s="52" customFormat="1" ht="22.5" customHeight="1" x14ac:dyDescent="0.2">
      <c r="A216" s="115" t="s">
        <v>469</v>
      </c>
      <c r="B216" s="67" t="s">
        <v>160</v>
      </c>
      <c r="C216" s="67" t="s">
        <v>297</v>
      </c>
      <c r="D216" s="68" t="s">
        <v>319</v>
      </c>
      <c r="E216" s="84">
        <v>321</v>
      </c>
      <c r="F216" s="290">
        <f>'ПР 7 ведом'!G352</f>
        <v>193.8</v>
      </c>
      <c r="G216" s="291"/>
      <c r="H216" s="90"/>
      <c r="I216" s="90"/>
      <c r="J216" s="90"/>
      <c r="K216" s="90"/>
      <c r="L216" s="90"/>
      <c r="M216" s="90"/>
    </row>
    <row r="217" spans="1:13" s="52" customFormat="1" ht="43.5" customHeight="1" x14ac:dyDescent="0.2">
      <c r="A217" s="292" t="s">
        <v>411</v>
      </c>
      <c r="B217" s="94" t="s">
        <v>160</v>
      </c>
      <c r="C217" s="94" t="s">
        <v>297</v>
      </c>
      <c r="D217" s="96" t="s">
        <v>412</v>
      </c>
      <c r="E217" s="96" t="s">
        <v>184</v>
      </c>
      <c r="F217" s="138">
        <f>F220+F223</f>
        <v>350</v>
      </c>
      <c r="G217" s="65"/>
      <c r="H217" s="90"/>
      <c r="I217" s="90"/>
      <c r="J217" s="90"/>
      <c r="K217" s="90"/>
      <c r="L217" s="90"/>
      <c r="M217" s="90"/>
    </row>
    <row r="218" spans="1:13" s="52" customFormat="1" ht="25.5" customHeight="1" x14ac:dyDescent="0.2">
      <c r="A218" s="71" t="s">
        <v>413</v>
      </c>
      <c r="B218" s="67" t="s">
        <v>160</v>
      </c>
      <c r="C218" s="67" t="s">
        <v>297</v>
      </c>
      <c r="D218" s="68" t="s">
        <v>414</v>
      </c>
      <c r="E218" s="68"/>
      <c r="F218" s="131">
        <f>F219</f>
        <v>150</v>
      </c>
      <c r="G218" s="65"/>
      <c r="H218" s="90"/>
      <c r="I218" s="90"/>
      <c r="J218" s="90"/>
      <c r="K218" s="90"/>
      <c r="L218" s="90"/>
      <c r="M218" s="90"/>
    </row>
    <row r="219" spans="1:13" s="52" customFormat="1" ht="19.5" customHeight="1" x14ac:dyDescent="0.2">
      <c r="A219" s="293" t="s">
        <v>415</v>
      </c>
      <c r="B219" s="67" t="s">
        <v>160</v>
      </c>
      <c r="C219" s="67" t="s">
        <v>297</v>
      </c>
      <c r="D219" s="68" t="s">
        <v>416</v>
      </c>
      <c r="E219" s="68"/>
      <c r="F219" s="131">
        <f>+F220</f>
        <v>150</v>
      </c>
      <c r="G219" s="65"/>
      <c r="H219" s="90"/>
      <c r="I219" s="90"/>
      <c r="J219" s="90"/>
      <c r="K219" s="90"/>
      <c r="L219" s="90"/>
      <c r="M219" s="90"/>
    </row>
    <row r="220" spans="1:13" s="52" customFormat="1" ht="19.5" customHeight="1" x14ac:dyDescent="0.2">
      <c r="A220" s="66" t="s">
        <v>149</v>
      </c>
      <c r="B220" s="67" t="s">
        <v>160</v>
      </c>
      <c r="C220" s="67" t="s">
        <v>297</v>
      </c>
      <c r="D220" s="68" t="s">
        <v>416</v>
      </c>
      <c r="E220" s="68" t="s">
        <v>150</v>
      </c>
      <c r="F220" s="131">
        <f>F221</f>
        <v>150</v>
      </c>
      <c r="G220" s="65"/>
      <c r="H220" s="90"/>
      <c r="I220" s="90"/>
      <c r="J220" s="90"/>
      <c r="K220" s="90"/>
      <c r="L220" s="90"/>
      <c r="M220" s="90"/>
    </row>
    <row r="221" spans="1:13" s="52" customFormat="1" ht="23.25" customHeight="1" x14ac:dyDescent="0.2">
      <c r="A221" s="66" t="s">
        <v>151</v>
      </c>
      <c r="B221" s="67" t="s">
        <v>160</v>
      </c>
      <c r="C221" s="67" t="s">
        <v>297</v>
      </c>
      <c r="D221" s="68" t="s">
        <v>416</v>
      </c>
      <c r="E221" s="68" t="s">
        <v>152</v>
      </c>
      <c r="F221" s="131">
        <f>F222</f>
        <v>150</v>
      </c>
      <c r="G221" s="65"/>
      <c r="H221" s="90"/>
      <c r="I221" s="90"/>
      <c r="J221" s="90"/>
      <c r="K221" s="90"/>
      <c r="L221" s="90"/>
      <c r="M221" s="90"/>
    </row>
    <row r="222" spans="1:13" s="52" customFormat="1" ht="23.25" customHeight="1" x14ac:dyDescent="0.2">
      <c r="A222" s="70" t="s">
        <v>153</v>
      </c>
      <c r="B222" s="67" t="s">
        <v>160</v>
      </c>
      <c r="C222" s="67" t="s">
        <v>297</v>
      </c>
      <c r="D222" s="68" t="s">
        <v>416</v>
      </c>
      <c r="E222" s="68" t="s">
        <v>154</v>
      </c>
      <c r="F222" s="131">
        <f>'ПР 7 ведом'!G517</f>
        <v>150</v>
      </c>
      <c r="G222" s="65"/>
      <c r="H222" s="90"/>
      <c r="I222" s="90"/>
      <c r="J222" s="90"/>
      <c r="K222" s="90"/>
      <c r="L222" s="90"/>
      <c r="M222" s="90"/>
    </row>
    <row r="223" spans="1:13" s="52" customFormat="1" ht="25.5" customHeight="1" x14ac:dyDescent="0.2">
      <c r="A223" s="69" t="s">
        <v>417</v>
      </c>
      <c r="B223" s="67" t="s">
        <v>160</v>
      </c>
      <c r="C223" s="67" t="s">
        <v>297</v>
      </c>
      <c r="D223" s="68" t="s">
        <v>418</v>
      </c>
      <c r="E223" s="68"/>
      <c r="F223" s="131">
        <f>F224</f>
        <v>200</v>
      </c>
      <c r="G223" s="65"/>
      <c r="H223" s="90"/>
      <c r="I223" s="90"/>
      <c r="J223" s="90"/>
      <c r="K223" s="90"/>
      <c r="L223" s="90"/>
      <c r="M223" s="90"/>
    </row>
    <row r="224" spans="1:13" s="52" customFormat="1" ht="45" x14ac:dyDescent="0.2">
      <c r="A224" s="69" t="s">
        <v>419</v>
      </c>
      <c r="B224" s="67" t="s">
        <v>160</v>
      </c>
      <c r="C224" s="67" t="s">
        <v>297</v>
      </c>
      <c r="D224" s="68" t="s">
        <v>420</v>
      </c>
      <c r="E224" s="68"/>
      <c r="F224" s="131">
        <f>F225+F228</f>
        <v>200</v>
      </c>
      <c r="G224" s="65"/>
      <c r="H224" s="90"/>
      <c r="I224" s="90"/>
      <c r="J224" s="90"/>
      <c r="K224" s="90"/>
      <c r="L224" s="90"/>
      <c r="M224" s="90"/>
    </row>
    <row r="225" spans="1:13" s="52" customFormat="1" ht="45" x14ac:dyDescent="0.2">
      <c r="A225" s="83" t="s">
        <v>139</v>
      </c>
      <c r="B225" s="87" t="s">
        <v>160</v>
      </c>
      <c r="C225" s="87" t="s">
        <v>297</v>
      </c>
      <c r="D225" s="84" t="s">
        <v>420</v>
      </c>
      <c r="E225" s="84">
        <v>100</v>
      </c>
      <c r="F225" s="131">
        <f>F226</f>
        <v>10</v>
      </c>
      <c r="G225" s="65"/>
      <c r="H225" s="90"/>
      <c r="I225" s="90"/>
      <c r="J225" s="90"/>
      <c r="K225" s="90"/>
      <c r="L225" s="90"/>
      <c r="M225" s="90"/>
    </row>
    <row r="226" spans="1:13" s="52" customFormat="1" ht="22.5" x14ac:dyDescent="0.2">
      <c r="A226" s="83" t="s">
        <v>168</v>
      </c>
      <c r="B226" s="87" t="s">
        <v>160</v>
      </c>
      <c r="C226" s="87" t="s">
        <v>297</v>
      </c>
      <c r="D226" s="84" t="s">
        <v>420</v>
      </c>
      <c r="E226" s="84">
        <v>120</v>
      </c>
      <c r="F226" s="131">
        <f>F227</f>
        <v>10</v>
      </c>
      <c r="G226" s="65"/>
      <c r="H226" s="90"/>
      <c r="I226" s="90"/>
      <c r="J226" s="90"/>
      <c r="K226" s="90"/>
      <c r="L226" s="90"/>
      <c r="M226" s="90"/>
    </row>
    <row r="227" spans="1:13" s="52" customFormat="1" ht="22.5" x14ac:dyDescent="0.2">
      <c r="A227" s="69" t="s">
        <v>293</v>
      </c>
      <c r="B227" s="87" t="s">
        <v>160</v>
      </c>
      <c r="C227" s="87" t="s">
        <v>297</v>
      </c>
      <c r="D227" s="84" t="s">
        <v>420</v>
      </c>
      <c r="E227" s="84">
        <v>122</v>
      </c>
      <c r="F227" s="131">
        <f>'ПР 7 ведом'!G522</f>
        <v>10</v>
      </c>
      <c r="G227" s="65"/>
      <c r="H227" s="90"/>
      <c r="I227" s="90"/>
      <c r="J227" s="90"/>
      <c r="K227" s="90"/>
      <c r="L227" s="90"/>
      <c r="M227" s="90"/>
    </row>
    <row r="228" spans="1:13" s="52" customFormat="1" ht="25.5" customHeight="1" x14ac:dyDescent="0.2">
      <c r="A228" s="66" t="s">
        <v>149</v>
      </c>
      <c r="B228" s="67" t="s">
        <v>160</v>
      </c>
      <c r="C228" s="67" t="s">
        <v>297</v>
      </c>
      <c r="D228" s="68" t="s">
        <v>420</v>
      </c>
      <c r="E228" s="68" t="s">
        <v>150</v>
      </c>
      <c r="F228" s="131">
        <f>F229</f>
        <v>190</v>
      </c>
      <c r="G228" s="65"/>
      <c r="H228" s="90"/>
      <c r="I228" s="90"/>
      <c r="J228" s="90"/>
      <c r="K228" s="90"/>
      <c r="L228" s="90"/>
      <c r="M228" s="90"/>
    </row>
    <row r="229" spans="1:13" s="52" customFormat="1" ht="21.75" customHeight="1" x14ac:dyDescent="0.2">
      <c r="A229" s="66" t="s">
        <v>151</v>
      </c>
      <c r="B229" s="67" t="s">
        <v>160</v>
      </c>
      <c r="C229" s="67" t="s">
        <v>297</v>
      </c>
      <c r="D229" s="68" t="s">
        <v>420</v>
      </c>
      <c r="E229" s="68" t="s">
        <v>152</v>
      </c>
      <c r="F229" s="131">
        <f>F230</f>
        <v>190</v>
      </c>
      <c r="G229" s="65"/>
      <c r="H229" s="90"/>
      <c r="I229" s="90"/>
      <c r="J229" s="90"/>
      <c r="K229" s="90"/>
      <c r="L229" s="90"/>
      <c r="M229" s="90"/>
    </row>
    <row r="230" spans="1:13" s="52" customFormat="1" ht="23.25" customHeight="1" x14ac:dyDescent="0.2">
      <c r="A230" s="70" t="s">
        <v>153</v>
      </c>
      <c r="B230" s="67" t="s">
        <v>160</v>
      </c>
      <c r="C230" s="67" t="s">
        <v>297</v>
      </c>
      <c r="D230" s="68" t="s">
        <v>420</v>
      </c>
      <c r="E230" s="68" t="s">
        <v>154</v>
      </c>
      <c r="F230" s="131">
        <f>'ПР 7 ведом'!G525</f>
        <v>190</v>
      </c>
      <c r="G230" s="65"/>
      <c r="H230" s="90"/>
      <c r="I230" s="90"/>
      <c r="J230" s="90"/>
      <c r="K230" s="90"/>
      <c r="L230" s="90"/>
      <c r="M230" s="90"/>
    </row>
    <row r="231" spans="1:13" s="52" customFormat="1" ht="45" customHeight="1" x14ac:dyDescent="0.2">
      <c r="A231" s="61" t="s">
        <v>421</v>
      </c>
      <c r="B231" s="96" t="s">
        <v>160</v>
      </c>
      <c r="C231" s="94" t="s">
        <v>297</v>
      </c>
      <c r="D231" s="96" t="s">
        <v>422</v>
      </c>
      <c r="E231" s="96"/>
      <c r="F231" s="138">
        <f>+F232</f>
        <v>61</v>
      </c>
      <c r="G231" s="64"/>
      <c r="H231" s="90"/>
      <c r="I231" s="90"/>
      <c r="J231" s="90"/>
      <c r="K231" s="90"/>
      <c r="L231" s="90"/>
      <c r="M231" s="90"/>
    </row>
    <row r="232" spans="1:13" s="52" customFormat="1" ht="22.5" customHeight="1" x14ac:dyDescent="0.2">
      <c r="A232" s="66" t="s">
        <v>423</v>
      </c>
      <c r="B232" s="67" t="s">
        <v>160</v>
      </c>
      <c r="C232" s="67" t="s">
        <v>297</v>
      </c>
      <c r="D232" s="68" t="s">
        <v>424</v>
      </c>
      <c r="E232" s="68" t="s">
        <v>184</v>
      </c>
      <c r="F232" s="290">
        <f>F233</f>
        <v>61</v>
      </c>
      <c r="G232" s="291"/>
      <c r="H232" s="90"/>
      <c r="I232" s="90"/>
      <c r="J232" s="90"/>
      <c r="K232" s="90"/>
      <c r="L232" s="90"/>
      <c r="M232" s="90"/>
    </row>
    <row r="233" spans="1:13" s="52" customFormat="1" ht="22.5" customHeight="1" x14ac:dyDescent="0.2">
      <c r="A233" s="66" t="s">
        <v>149</v>
      </c>
      <c r="B233" s="67" t="s">
        <v>160</v>
      </c>
      <c r="C233" s="67" t="s">
        <v>297</v>
      </c>
      <c r="D233" s="68" t="s">
        <v>424</v>
      </c>
      <c r="E233" s="68" t="s">
        <v>150</v>
      </c>
      <c r="F233" s="290">
        <f>F234</f>
        <v>61</v>
      </c>
      <c r="G233" s="291"/>
      <c r="H233" s="90"/>
      <c r="I233" s="90"/>
      <c r="J233" s="90"/>
      <c r="K233" s="90"/>
      <c r="L233" s="90"/>
      <c r="M233" s="90"/>
    </row>
    <row r="234" spans="1:13" s="52" customFormat="1" ht="22.5" customHeight="1" x14ac:dyDescent="0.2">
      <c r="A234" s="70" t="s">
        <v>151</v>
      </c>
      <c r="B234" s="67" t="s">
        <v>160</v>
      </c>
      <c r="C234" s="67" t="s">
        <v>297</v>
      </c>
      <c r="D234" s="68" t="s">
        <v>424</v>
      </c>
      <c r="E234" s="68" t="s">
        <v>152</v>
      </c>
      <c r="F234" s="290">
        <f>F235</f>
        <v>61</v>
      </c>
      <c r="G234" s="291"/>
      <c r="H234" s="90"/>
      <c r="I234" s="90"/>
      <c r="J234" s="90"/>
      <c r="K234" s="90"/>
      <c r="L234" s="90"/>
      <c r="M234" s="90"/>
    </row>
    <row r="235" spans="1:13" s="52" customFormat="1" ht="25.5" customHeight="1" x14ac:dyDescent="0.2">
      <c r="A235" s="70" t="s">
        <v>153</v>
      </c>
      <c r="B235" s="67" t="s">
        <v>160</v>
      </c>
      <c r="C235" s="67" t="s">
        <v>297</v>
      </c>
      <c r="D235" s="68" t="s">
        <v>424</v>
      </c>
      <c r="E235" s="68" t="s">
        <v>154</v>
      </c>
      <c r="F235" s="290">
        <f>'ПР 7 ведом'!G530</f>
        <v>61</v>
      </c>
      <c r="G235" s="291"/>
      <c r="H235" s="90"/>
      <c r="I235" s="90"/>
      <c r="J235" s="90"/>
      <c r="K235" s="90"/>
      <c r="L235" s="90"/>
      <c r="M235" s="90"/>
    </row>
    <row r="236" spans="1:13" s="52" customFormat="1" ht="31.5" x14ac:dyDescent="0.2">
      <c r="A236" s="61" t="s">
        <v>430</v>
      </c>
      <c r="B236" s="94" t="s">
        <v>160</v>
      </c>
      <c r="C236" s="94" t="s">
        <v>297</v>
      </c>
      <c r="D236" s="96" t="s">
        <v>431</v>
      </c>
      <c r="E236" s="96" t="s">
        <v>184</v>
      </c>
      <c r="F236" s="138">
        <f>F237</f>
        <v>400</v>
      </c>
      <c r="G236" s="291"/>
      <c r="H236" s="90"/>
      <c r="I236" s="90"/>
      <c r="J236" s="90"/>
      <c r="K236" s="90"/>
      <c r="L236" s="90"/>
      <c r="M236" s="90"/>
    </row>
    <row r="237" spans="1:13" s="74" customFormat="1" ht="25.5" customHeight="1" x14ac:dyDescent="0.2">
      <c r="A237" s="66" t="s">
        <v>432</v>
      </c>
      <c r="B237" s="67" t="s">
        <v>160</v>
      </c>
      <c r="C237" s="67" t="s">
        <v>297</v>
      </c>
      <c r="D237" s="68" t="s">
        <v>433</v>
      </c>
      <c r="E237" s="68"/>
      <c r="F237" s="131">
        <f>F238</f>
        <v>400</v>
      </c>
      <c r="G237" s="294"/>
      <c r="H237" s="150"/>
      <c r="I237" s="150"/>
      <c r="J237" s="150"/>
      <c r="K237" s="150"/>
      <c r="L237" s="150"/>
      <c r="M237" s="150"/>
    </row>
    <row r="238" spans="1:13" s="74" customFormat="1" ht="22.5" customHeight="1" x14ac:dyDescent="0.2">
      <c r="A238" s="66" t="s">
        <v>149</v>
      </c>
      <c r="B238" s="67" t="s">
        <v>160</v>
      </c>
      <c r="C238" s="67" t="s">
        <v>297</v>
      </c>
      <c r="D238" s="68" t="s">
        <v>433</v>
      </c>
      <c r="E238" s="68" t="s">
        <v>150</v>
      </c>
      <c r="F238" s="131">
        <f>F239</f>
        <v>400</v>
      </c>
      <c r="G238" s="294"/>
      <c r="H238" s="150"/>
      <c r="I238" s="150"/>
      <c r="J238" s="150"/>
      <c r="K238" s="150"/>
      <c r="L238" s="150"/>
      <c r="M238" s="150"/>
    </row>
    <row r="239" spans="1:13" s="74" customFormat="1" ht="22.5" customHeight="1" x14ac:dyDescent="0.2">
      <c r="A239" s="66" t="s">
        <v>151</v>
      </c>
      <c r="B239" s="67" t="s">
        <v>160</v>
      </c>
      <c r="C239" s="67" t="s">
        <v>297</v>
      </c>
      <c r="D239" s="68" t="s">
        <v>433</v>
      </c>
      <c r="E239" s="68" t="s">
        <v>152</v>
      </c>
      <c r="F239" s="131">
        <f>F240</f>
        <v>400</v>
      </c>
      <c r="G239" s="294"/>
      <c r="H239" s="150"/>
      <c r="I239" s="150"/>
      <c r="J239" s="150"/>
      <c r="K239" s="150"/>
      <c r="L239" s="150"/>
      <c r="M239" s="150"/>
    </row>
    <row r="240" spans="1:13" s="74" customFormat="1" ht="22.5" customHeight="1" x14ac:dyDescent="0.2">
      <c r="A240" s="70" t="s">
        <v>153</v>
      </c>
      <c r="B240" s="67" t="s">
        <v>160</v>
      </c>
      <c r="C240" s="67" t="s">
        <v>297</v>
      </c>
      <c r="D240" s="68" t="s">
        <v>433</v>
      </c>
      <c r="E240" s="68" t="s">
        <v>154</v>
      </c>
      <c r="F240" s="131">
        <f>'ПР 7 ведом'!G544</f>
        <v>400</v>
      </c>
      <c r="G240" s="294"/>
      <c r="H240" s="150"/>
      <c r="I240" s="150"/>
      <c r="J240" s="150"/>
      <c r="K240" s="150"/>
      <c r="L240" s="150"/>
      <c r="M240" s="150"/>
    </row>
    <row r="241" spans="1:13" s="52" customFormat="1" ht="29.25" customHeight="1" x14ac:dyDescent="0.2">
      <c r="A241" s="61" t="s">
        <v>425</v>
      </c>
      <c r="B241" s="96" t="s">
        <v>160</v>
      </c>
      <c r="C241" s="94" t="s">
        <v>297</v>
      </c>
      <c r="D241" s="96" t="s">
        <v>426</v>
      </c>
      <c r="E241" s="96"/>
      <c r="F241" s="288">
        <f>F242+F246</f>
        <v>50</v>
      </c>
      <c r="G241" s="291"/>
      <c r="H241" s="90"/>
      <c r="I241" s="90"/>
      <c r="J241" s="90"/>
      <c r="K241" s="90"/>
      <c r="L241" s="90"/>
      <c r="M241" s="90"/>
    </row>
    <row r="242" spans="1:13" s="52" customFormat="1" ht="24.75" customHeight="1" x14ac:dyDescent="0.2">
      <c r="A242" s="69" t="s">
        <v>67</v>
      </c>
      <c r="B242" s="68" t="s">
        <v>160</v>
      </c>
      <c r="C242" s="67" t="s">
        <v>297</v>
      </c>
      <c r="D242" s="68" t="s">
        <v>427</v>
      </c>
      <c r="E242" s="72"/>
      <c r="F242" s="290">
        <f>F243</f>
        <v>0</v>
      </c>
      <c r="G242" s="291"/>
      <c r="H242" s="90"/>
      <c r="I242" s="90"/>
      <c r="J242" s="90"/>
      <c r="K242" s="90"/>
      <c r="L242" s="90"/>
      <c r="M242" s="90"/>
    </row>
    <row r="243" spans="1:13" s="52" customFormat="1" ht="23.25" customHeight="1" x14ac:dyDescent="0.2">
      <c r="A243" s="66" t="s">
        <v>149</v>
      </c>
      <c r="B243" s="68" t="s">
        <v>160</v>
      </c>
      <c r="C243" s="67" t="s">
        <v>297</v>
      </c>
      <c r="D243" s="68" t="s">
        <v>427</v>
      </c>
      <c r="E243" s="91" t="s">
        <v>150</v>
      </c>
      <c r="F243" s="290">
        <f>F244</f>
        <v>0</v>
      </c>
      <c r="G243" s="291"/>
      <c r="H243" s="90"/>
      <c r="I243" s="90"/>
      <c r="J243" s="90"/>
      <c r="K243" s="90"/>
      <c r="L243" s="90"/>
      <c r="M243" s="90"/>
    </row>
    <row r="244" spans="1:13" s="52" customFormat="1" ht="22.5" customHeight="1" x14ac:dyDescent="0.2">
      <c r="A244" s="66" t="s">
        <v>151</v>
      </c>
      <c r="B244" s="68" t="s">
        <v>160</v>
      </c>
      <c r="C244" s="67" t="s">
        <v>297</v>
      </c>
      <c r="D244" s="68" t="s">
        <v>427</v>
      </c>
      <c r="E244" s="91" t="s">
        <v>152</v>
      </c>
      <c r="F244" s="290">
        <f>F245</f>
        <v>0</v>
      </c>
      <c r="G244" s="291"/>
      <c r="H244" s="90"/>
      <c r="I244" s="90"/>
      <c r="J244" s="90"/>
      <c r="K244" s="90"/>
      <c r="L244" s="90"/>
      <c r="M244" s="90"/>
    </row>
    <row r="245" spans="1:13" s="52" customFormat="1" ht="22.5" x14ac:dyDescent="0.2">
      <c r="A245" s="70" t="s">
        <v>153</v>
      </c>
      <c r="B245" s="68" t="s">
        <v>160</v>
      </c>
      <c r="C245" s="67" t="s">
        <v>297</v>
      </c>
      <c r="D245" s="68" t="s">
        <v>427</v>
      </c>
      <c r="E245" s="91" t="s">
        <v>154</v>
      </c>
      <c r="F245" s="131">
        <f>'ПР 7 ведом'!G535</f>
        <v>0</v>
      </c>
      <c r="G245" s="65"/>
      <c r="H245" s="90"/>
      <c r="I245" s="90"/>
      <c r="J245" s="90"/>
      <c r="K245" s="90"/>
      <c r="L245" s="90"/>
      <c r="M245" s="90"/>
    </row>
    <row r="246" spans="1:13" s="52" customFormat="1" x14ac:dyDescent="0.2">
      <c r="A246" s="293" t="s">
        <v>428</v>
      </c>
      <c r="B246" s="67" t="s">
        <v>160</v>
      </c>
      <c r="C246" s="67" t="s">
        <v>297</v>
      </c>
      <c r="D246" s="68" t="s">
        <v>429</v>
      </c>
      <c r="E246" s="68" t="s">
        <v>184</v>
      </c>
      <c r="F246" s="131">
        <f>F247</f>
        <v>50</v>
      </c>
      <c r="G246" s="65"/>
      <c r="H246" s="90"/>
      <c r="I246" s="90"/>
      <c r="J246" s="90"/>
      <c r="K246" s="90"/>
      <c r="L246" s="90"/>
      <c r="M246" s="90"/>
    </row>
    <row r="247" spans="1:13" s="52" customFormat="1" ht="24" customHeight="1" x14ac:dyDescent="0.2">
      <c r="A247" s="66" t="s">
        <v>149</v>
      </c>
      <c r="B247" s="67" t="s">
        <v>160</v>
      </c>
      <c r="C247" s="67" t="s">
        <v>297</v>
      </c>
      <c r="D247" s="68" t="s">
        <v>429</v>
      </c>
      <c r="E247" s="68" t="s">
        <v>150</v>
      </c>
      <c r="F247" s="131">
        <f>F248</f>
        <v>50</v>
      </c>
      <c r="G247" s="65"/>
      <c r="H247" s="90"/>
      <c r="I247" s="90"/>
      <c r="J247" s="90"/>
      <c r="K247" s="90"/>
      <c r="L247" s="90"/>
      <c r="M247" s="90"/>
    </row>
    <row r="248" spans="1:13" s="52" customFormat="1" ht="24" customHeight="1" x14ac:dyDescent="0.2">
      <c r="A248" s="66" t="s">
        <v>151</v>
      </c>
      <c r="B248" s="67" t="s">
        <v>160</v>
      </c>
      <c r="C248" s="67" t="s">
        <v>297</v>
      </c>
      <c r="D248" s="68" t="s">
        <v>429</v>
      </c>
      <c r="E248" s="68" t="s">
        <v>152</v>
      </c>
      <c r="F248" s="131">
        <f>F249</f>
        <v>50</v>
      </c>
      <c r="G248" s="65"/>
      <c r="H248" s="90"/>
      <c r="I248" s="90"/>
      <c r="J248" s="90"/>
      <c r="K248" s="90"/>
      <c r="L248" s="90"/>
      <c r="M248" s="90"/>
    </row>
    <row r="249" spans="1:13" s="52" customFormat="1" ht="24" customHeight="1" x14ac:dyDescent="0.2">
      <c r="A249" s="70" t="s">
        <v>153</v>
      </c>
      <c r="B249" s="67" t="s">
        <v>160</v>
      </c>
      <c r="C249" s="67" t="s">
        <v>297</v>
      </c>
      <c r="D249" s="68" t="s">
        <v>429</v>
      </c>
      <c r="E249" s="68" t="s">
        <v>154</v>
      </c>
      <c r="F249" s="131">
        <f>'ПР 7 ведом'!G539</f>
        <v>50</v>
      </c>
      <c r="G249" s="65"/>
      <c r="H249" s="90"/>
      <c r="I249" s="90"/>
      <c r="J249" s="90"/>
      <c r="K249" s="90"/>
      <c r="L249" s="90"/>
      <c r="M249" s="90"/>
    </row>
    <row r="250" spans="1:13" s="52" customFormat="1" x14ac:dyDescent="0.2">
      <c r="A250" s="342" t="s">
        <v>434</v>
      </c>
      <c r="B250" s="337" t="s">
        <v>286</v>
      </c>
      <c r="C250" s="305"/>
      <c r="D250" s="306"/>
      <c r="E250" s="306"/>
      <c r="F250" s="338">
        <f>F251</f>
        <v>700</v>
      </c>
      <c r="G250" s="64"/>
      <c r="H250" s="148"/>
      <c r="I250" s="90"/>
      <c r="J250" s="90"/>
      <c r="K250" s="90"/>
      <c r="L250" s="90"/>
      <c r="M250" s="90"/>
    </row>
    <row r="251" spans="1:13" s="52" customFormat="1" ht="11.25" customHeight="1" x14ac:dyDescent="0.2">
      <c r="A251" s="295" t="s">
        <v>435</v>
      </c>
      <c r="B251" s="94" t="s">
        <v>286</v>
      </c>
      <c r="C251" s="94" t="s">
        <v>188</v>
      </c>
      <c r="D251" s="96"/>
      <c r="E251" s="68"/>
      <c r="F251" s="138">
        <f>F252</f>
        <v>700</v>
      </c>
      <c r="G251" s="64"/>
      <c r="H251" s="90"/>
      <c r="I251" s="90"/>
      <c r="J251" s="90"/>
      <c r="K251" s="90"/>
      <c r="L251" s="90"/>
      <c r="M251" s="90"/>
    </row>
    <row r="252" spans="1:13" s="52" customFormat="1" ht="32.25" x14ac:dyDescent="0.2">
      <c r="A252" s="292" t="s">
        <v>436</v>
      </c>
      <c r="B252" s="94" t="s">
        <v>286</v>
      </c>
      <c r="C252" s="94" t="s">
        <v>188</v>
      </c>
      <c r="D252" s="96" t="s">
        <v>437</v>
      </c>
      <c r="E252" s="96"/>
      <c r="F252" s="138">
        <f>F253+F257+F261</f>
        <v>700</v>
      </c>
      <c r="G252" s="64"/>
      <c r="H252" s="90"/>
      <c r="I252" s="90"/>
      <c r="J252" s="90"/>
      <c r="K252" s="90"/>
      <c r="L252" s="90"/>
      <c r="M252" s="90"/>
    </row>
    <row r="253" spans="1:13" s="52" customFormat="1" ht="22.5" x14ac:dyDescent="0.2">
      <c r="A253" s="69" t="s">
        <v>438</v>
      </c>
      <c r="B253" s="67" t="s">
        <v>286</v>
      </c>
      <c r="C253" s="67" t="s">
        <v>188</v>
      </c>
      <c r="D253" s="68" t="s">
        <v>439</v>
      </c>
      <c r="E253" s="68"/>
      <c r="F253" s="131">
        <f>F254</f>
        <v>642.5</v>
      </c>
      <c r="G253" s="64"/>
      <c r="H253" s="90"/>
      <c r="I253" s="90"/>
      <c r="J253" s="90"/>
      <c r="K253" s="90"/>
      <c r="L253" s="90"/>
      <c r="M253" s="90"/>
    </row>
    <row r="254" spans="1:13" s="52" customFormat="1" ht="22.5" x14ac:dyDescent="0.2">
      <c r="A254" s="66" t="s">
        <v>149</v>
      </c>
      <c r="B254" s="67" t="s">
        <v>286</v>
      </c>
      <c r="C254" s="67" t="s">
        <v>188</v>
      </c>
      <c r="D254" s="68" t="s">
        <v>439</v>
      </c>
      <c r="E254" s="68" t="s">
        <v>150</v>
      </c>
      <c r="F254" s="131">
        <f>F255</f>
        <v>642.5</v>
      </c>
      <c r="G254" s="65"/>
      <c r="H254" s="90"/>
      <c r="I254" s="90"/>
      <c r="J254" s="90"/>
      <c r="K254" s="90"/>
      <c r="L254" s="90"/>
      <c r="M254" s="90"/>
    </row>
    <row r="255" spans="1:13" s="52" customFormat="1" ht="22.5" x14ac:dyDescent="0.2">
      <c r="A255" s="66" t="s">
        <v>151</v>
      </c>
      <c r="B255" s="67" t="s">
        <v>286</v>
      </c>
      <c r="C255" s="67" t="s">
        <v>188</v>
      </c>
      <c r="D255" s="68" t="s">
        <v>439</v>
      </c>
      <c r="E255" s="68" t="s">
        <v>152</v>
      </c>
      <c r="F255" s="131">
        <f>F256</f>
        <v>642.5</v>
      </c>
      <c r="G255" s="65"/>
      <c r="H255" s="90"/>
      <c r="I255" s="90"/>
      <c r="J255" s="90"/>
      <c r="K255" s="90"/>
      <c r="L255" s="90"/>
      <c r="M255" s="90"/>
    </row>
    <row r="256" spans="1:13" s="52" customFormat="1" ht="22.5" x14ac:dyDescent="0.2">
      <c r="A256" s="70" t="s">
        <v>153</v>
      </c>
      <c r="B256" s="67" t="s">
        <v>286</v>
      </c>
      <c r="C256" s="67" t="s">
        <v>188</v>
      </c>
      <c r="D256" s="68" t="s">
        <v>439</v>
      </c>
      <c r="E256" s="68" t="s">
        <v>154</v>
      </c>
      <c r="F256" s="131">
        <f>'ПР 7 ведом'!G551</f>
        <v>642.5</v>
      </c>
      <c r="G256" s="65"/>
      <c r="H256" s="90"/>
      <c r="I256" s="90"/>
      <c r="J256" s="90"/>
      <c r="K256" s="90"/>
      <c r="L256" s="90"/>
      <c r="M256" s="90"/>
    </row>
    <row r="257" spans="1:13" s="52" customFormat="1" ht="22.5" x14ac:dyDescent="0.2">
      <c r="A257" s="83" t="s">
        <v>440</v>
      </c>
      <c r="B257" s="67" t="s">
        <v>286</v>
      </c>
      <c r="C257" s="67" t="s">
        <v>188</v>
      </c>
      <c r="D257" s="68" t="s">
        <v>441</v>
      </c>
      <c r="E257" s="68"/>
      <c r="F257" s="131">
        <f>F258</f>
        <v>20</v>
      </c>
      <c r="G257" s="65"/>
      <c r="H257" s="90"/>
      <c r="I257" s="90"/>
      <c r="J257" s="90"/>
      <c r="K257" s="90"/>
      <c r="L257" s="90"/>
      <c r="M257" s="90"/>
    </row>
    <row r="258" spans="1:13" s="52" customFormat="1" ht="22.5" x14ac:dyDescent="0.2">
      <c r="A258" s="66" t="s">
        <v>149</v>
      </c>
      <c r="B258" s="67" t="s">
        <v>286</v>
      </c>
      <c r="C258" s="67" t="s">
        <v>188</v>
      </c>
      <c r="D258" s="68" t="s">
        <v>441</v>
      </c>
      <c r="E258" s="68" t="s">
        <v>150</v>
      </c>
      <c r="F258" s="131">
        <f>F259</f>
        <v>20</v>
      </c>
      <c r="G258" s="65"/>
      <c r="H258" s="90"/>
      <c r="I258" s="90"/>
      <c r="J258" s="90"/>
      <c r="K258" s="90"/>
      <c r="L258" s="90"/>
      <c r="M258" s="90"/>
    </row>
    <row r="259" spans="1:13" s="52" customFormat="1" ht="22.5" x14ac:dyDescent="0.2">
      <c r="A259" s="66" t="s">
        <v>151</v>
      </c>
      <c r="B259" s="67" t="s">
        <v>286</v>
      </c>
      <c r="C259" s="67" t="s">
        <v>188</v>
      </c>
      <c r="D259" s="68" t="s">
        <v>441</v>
      </c>
      <c r="E259" s="68" t="s">
        <v>152</v>
      </c>
      <c r="F259" s="131">
        <f>F260</f>
        <v>20</v>
      </c>
      <c r="G259" s="65"/>
      <c r="H259" s="90"/>
      <c r="I259" s="90"/>
      <c r="J259" s="90"/>
      <c r="K259" s="90"/>
      <c r="L259" s="90"/>
      <c r="M259" s="90"/>
    </row>
    <row r="260" spans="1:13" s="52" customFormat="1" ht="22.5" x14ac:dyDescent="0.2">
      <c r="A260" s="70" t="s">
        <v>153</v>
      </c>
      <c r="B260" s="67" t="s">
        <v>286</v>
      </c>
      <c r="C260" s="67" t="s">
        <v>188</v>
      </c>
      <c r="D260" s="68" t="s">
        <v>441</v>
      </c>
      <c r="E260" s="68" t="s">
        <v>154</v>
      </c>
      <c r="F260" s="131">
        <f>'ПР 7 ведом'!G555</f>
        <v>20</v>
      </c>
      <c r="G260" s="65"/>
      <c r="H260" s="90"/>
      <c r="I260" s="90"/>
      <c r="J260" s="90"/>
      <c r="K260" s="90"/>
      <c r="L260" s="90"/>
      <c r="M260" s="90"/>
    </row>
    <row r="261" spans="1:13" s="52" customFormat="1" ht="22.5" x14ac:dyDescent="0.2">
      <c r="A261" s="83" t="s">
        <v>442</v>
      </c>
      <c r="B261" s="67" t="s">
        <v>286</v>
      </c>
      <c r="C261" s="67" t="s">
        <v>188</v>
      </c>
      <c r="D261" s="68" t="s">
        <v>443</v>
      </c>
      <c r="E261" s="68"/>
      <c r="F261" s="131">
        <f>F262</f>
        <v>37.5</v>
      </c>
      <c r="G261" s="65"/>
      <c r="H261" s="90"/>
      <c r="I261" s="90"/>
      <c r="J261" s="90"/>
      <c r="K261" s="90"/>
      <c r="L261" s="90"/>
      <c r="M261" s="90"/>
    </row>
    <row r="262" spans="1:13" s="52" customFormat="1" ht="22.5" x14ac:dyDescent="0.2">
      <c r="A262" s="66" t="s">
        <v>149</v>
      </c>
      <c r="B262" s="67" t="s">
        <v>286</v>
      </c>
      <c r="C262" s="67" t="s">
        <v>188</v>
      </c>
      <c r="D262" s="68" t="s">
        <v>443</v>
      </c>
      <c r="E262" s="68" t="s">
        <v>150</v>
      </c>
      <c r="F262" s="131">
        <f>F263</f>
        <v>37.5</v>
      </c>
      <c r="G262" s="65"/>
      <c r="H262" s="90"/>
      <c r="I262" s="90"/>
      <c r="J262" s="90"/>
      <c r="K262" s="90"/>
      <c r="L262" s="90"/>
      <c r="M262" s="90"/>
    </row>
    <row r="263" spans="1:13" s="52" customFormat="1" ht="22.5" x14ac:dyDescent="0.2">
      <c r="A263" s="66" t="s">
        <v>151</v>
      </c>
      <c r="B263" s="67" t="s">
        <v>286</v>
      </c>
      <c r="C263" s="67" t="s">
        <v>188</v>
      </c>
      <c r="D263" s="68" t="s">
        <v>443</v>
      </c>
      <c r="E263" s="68" t="s">
        <v>152</v>
      </c>
      <c r="F263" s="131">
        <f>F264</f>
        <v>37.5</v>
      </c>
      <c r="G263" s="65"/>
      <c r="H263" s="90"/>
      <c r="I263" s="90"/>
      <c r="J263" s="90"/>
      <c r="K263" s="90"/>
      <c r="L263" s="90"/>
      <c r="M263" s="90"/>
    </row>
    <row r="264" spans="1:13" s="52" customFormat="1" ht="22.5" x14ac:dyDescent="0.2">
      <c r="A264" s="70" t="s">
        <v>153</v>
      </c>
      <c r="B264" s="67" t="s">
        <v>286</v>
      </c>
      <c r="C264" s="67" t="s">
        <v>188</v>
      </c>
      <c r="D264" s="68" t="s">
        <v>443</v>
      </c>
      <c r="E264" s="68" t="s">
        <v>154</v>
      </c>
      <c r="F264" s="131">
        <f>'ПР 7 ведом'!G559</f>
        <v>37.5</v>
      </c>
      <c r="G264" s="65"/>
      <c r="H264" s="90"/>
      <c r="I264" s="90"/>
      <c r="J264" s="90"/>
      <c r="K264" s="90"/>
      <c r="L264" s="90"/>
      <c r="M264" s="90"/>
    </row>
    <row r="265" spans="1:13" s="52" customFormat="1" x14ac:dyDescent="0.2">
      <c r="A265" s="341" t="s">
        <v>241</v>
      </c>
      <c r="B265" s="328" t="s">
        <v>242</v>
      </c>
      <c r="C265" s="337" t="s">
        <v>182</v>
      </c>
      <c r="D265" s="328" t="s">
        <v>183</v>
      </c>
      <c r="E265" s="328" t="s">
        <v>184</v>
      </c>
      <c r="F265" s="338">
        <f>F266+F303+F346+F356+F369</f>
        <v>336938.00000000006</v>
      </c>
      <c r="G265" s="64"/>
      <c r="H265" s="157"/>
      <c r="I265" s="90"/>
      <c r="J265" s="90"/>
      <c r="K265" s="90"/>
      <c r="L265" s="90"/>
      <c r="M265" s="90"/>
    </row>
    <row r="266" spans="1:13" s="52" customFormat="1" x14ac:dyDescent="0.2">
      <c r="A266" s="61" t="s">
        <v>243</v>
      </c>
      <c r="B266" s="96" t="s">
        <v>242</v>
      </c>
      <c r="C266" s="94" t="s">
        <v>122</v>
      </c>
      <c r="D266" s="96" t="s">
        <v>183</v>
      </c>
      <c r="E266" s="96" t="s">
        <v>184</v>
      </c>
      <c r="F266" s="138">
        <f>F267+F295</f>
        <v>80662.100000000006</v>
      </c>
      <c r="G266" s="64"/>
      <c r="H266" s="148"/>
      <c r="I266" s="90"/>
      <c r="J266" s="90"/>
      <c r="K266" s="90"/>
      <c r="L266" s="90"/>
      <c r="M266" s="90"/>
    </row>
    <row r="267" spans="1:13" s="52" customFormat="1" ht="34.5" customHeight="1" x14ac:dyDescent="0.2">
      <c r="A267" s="61" t="s">
        <v>647</v>
      </c>
      <c r="B267" s="68" t="s">
        <v>242</v>
      </c>
      <c r="C267" s="67" t="s">
        <v>122</v>
      </c>
      <c r="D267" s="68" t="s">
        <v>245</v>
      </c>
      <c r="E267" s="68"/>
      <c r="F267" s="131">
        <f>F268</f>
        <v>80375</v>
      </c>
      <c r="G267" s="64"/>
      <c r="H267" s="148"/>
      <c r="I267" s="90"/>
      <c r="J267" s="90"/>
      <c r="K267" s="90"/>
      <c r="L267" s="90"/>
      <c r="M267" s="90"/>
    </row>
    <row r="268" spans="1:13" s="52" customFormat="1" ht="19.5" customHeight="1" x14ac:dyDescent="0.2">
      <c r="A268" s="83" t="s">
        <v>246</v>
      </c>
      <c r="B268" s="68" t="s">
        <v>242</v>
      </c>
      <c r="C268" s="67" t="s">
        <v>122</v>
      </c>
      <c r="D268" s="84" t="s">
        <v>247</v>
      </c>
      <c r="E268" s="84" t="s">
        <v>184</v>
      </c>
      <c r="F268" s="135">
        <f>F269+F284</f>
        <v>80375</v>
      </c>
      <c r="G268" s="286"/>
      <c r="H268" s="148"/>
      <c r="I268" s="90"/>
      <c r="J268" s="90"/>
      <c r="K268" s="90"/>
      <c r="L268" s="90"/>
      <c r="M268" s="90"/>
    </row>
    <row r="269" spans="1:13" s="52" customFormat="1" ht="28.5" customHeight="1" x14ac:dyDescent="0.2">
      <c r="A269" s="71" t="s">
        <v>127</v>
      </c>
      <c r="B269" s="68" t="s">
        <v>242</v>
      </c>
      <c r="C269" s="67" t="s">
        <v>122</v>
      </c>
      <c r="D269" s="68" t="s">
        <v>248</v>
      </c>
      <c r="E269" s="68"/>
      <c r="F269" s="131">
        <f>F270+F274+F280+F277</f>
        <v>34675</v>
      </c>
      <c r="G269" s="65"/>
      <c r="H269" s="148"/>
      <c r="I269" s="90"/>
      <c r="J269" s="90"/>
      <c r="K269" s="90"/>
      <c r="L269" s="90"/>
      <c r="M269" s="90"/>
    </row>
    <row r="270" spans="1:13" s="52" customFormat="1" ht="45" x14ac:dyDescent="0.2">
      <c r="A270" s="66" t="s">
        <v>139</v>
      </c>
      <c r="B270" s="68" t="s">
        <v>242</v>
      </c>
      <c r="C270" s="67" t="s">
        <v>122</v>
      </c>
      <c r="D270" s="68" t="s">
        <v>248</v>
      </c>
      <c r="E270" s="68" t="s">
        <v>140</v>
      </c>
      <c r="F270" s="131">
        <f>F271</f>
        <v>4541.3999999999996</v>
      </c>
      <c r="G270" s="65"/>
      <c r="H270" s="90"/>
      <c r="I270" s="90"/>
      <c r="J270" s="90"/>
      <c r="K270" s="90"/>
      <c r="L270" s="90"/>
      <c r="M270" s="90"/>
    </row>
    <row r="271" spans="1:13" s="52" customFormat="1" ht="15" customHeight="1" x14ac:dyDescent="0.2">
      <c r="A271" s="66" t="s">
        <v>141</v>
      </c>
      <c r="B271" s="68" t="s">
        <v>242</v>
      </c>
      <c r="C271" s="67" t="s">
        <v>122</v>
      </c>
      <c r="D271" s="68" t="s">
        <v>248</v>
      </c>
      <c r="E271" s="68">
        <v>110</v>
      </c>
      <c r="F271" s="131">
        <f>F272+F273</f>
        <v>4541.3999999999996</v>
      </c>
      <c r="G271" s="65"/>
      <c r="H271" s="90"/>
      <c r="I271" s="90"/>
      <c r="J271" s="90"/>
      <c r="K271" s="90"/>
      <c r="L271" s="90"/>
      <c r="M271" s="90"/>
    </row>
    <row r="272" spans="1:13" s="52" customFormat="1" ht="15" customHeight="1" x14ac:dyDescent="0.2">
      <c r="A272" s="66" t="s">
        <v>142</v>
      </c>
      <c r="B272" s="68" t="s">
        <v>242</v>
      </c>
      <c r="C272" s="67" t="s">
        <v>122</v>
      </c>
      <c r="D272" s="68" t="s">
        <v>248</v>
      </c>
      <c r="E272" s="68">
        <v>111</v>
      </c>
      <c r="F272" s="131">
        <f>'ПР 7 ведом'!G169</f>
        <v>3488</v>
      </c>
      <c r="G272" s="65"/>
      <c r="H272" s="90"/>
      <c r="I272" s="90"/>
      <c r="J272" s="90"/>
      <c r="K272" s="90"/>
      <c r="L272" s="90"/>
      <c r="M272" s="90"/>
    </row>
    <row r="273" spans="1:13" s="52" customFormat="1" ht="32.25" customHeight="1" x14ac:dyDescent="0.2">
      <c r="A273" s="69" t="s">
        <v>143</v>
      </c>
      <c r="B273" s="68" t="s">
        <v>242</v>
      </c>
      <c r="C273" s="67" t="s">
        <v>122</v>
      </c>
      <c r="D273" s="68" t="s">
        <v>248</v>
      </c>
      <c r="E273" s="68">
        <v>119</v>
      </c>
      <c r="F273" s="131">
        <f>'ПР 7 ведом'!G170</f>
        <v>1053.4000000000001</v>
      </c>
      <c r="G273" s="65"/>
      <c r="H273" s="90"/>
      <c r="I273" s="90"/>
      <c r="J273" s="90"/>
      <c r="K273" s="90"/>
      <c r="L273" s="90"/>
      <c r="M273" s="90"/>
    </row>
    <row r="274" spans="1:13" s="52" customFormat="1" ht="24" customHeight="1" x14ac:dyDescent="0.2">
      <c r="A274" s="66" t="s">
        <v>149</v>
      </c>
      <c r="B274" s="68" t="s">
        <v>242</v>
      </c>
      <c r="C274" s="67" t="s">
        <v>122</v>
      </c>
      <c r="D274" s="68" t="s">
        <v>248</v>
      </c>
      <c r="E274" s="68" t="s">
        <v>150</v>
      </c>
      <c r="F274" s="131">
        <f>F275</f>
        <v>1384.9</v>
      </c>
      <c r="G274" s="65"/>
      <c r="H274" s="90"/>
      <c r="I274" s="90"/>
      <c r="J274" s="90"/>
      <c r="K274" s="90"/>
      <c r="L274" s="90"/>
      <c r="M274" s="90"/>
    </row>
    <row r="275" spans="1:13" s="52" customFormat="1" ht="21.75" customHeight="1" x14ac:dyDescent="0.2">
      <c r="A275" s="66" t="s">
        <v>151</v>
      </c>
      <c r="B275" s="68" t="s">
        <v>242</v>
      </c>
      <c r="C275" s="67" t="s">
        <v>122</v>
      </c>
      <c r="D275" s="68" t="s">
        <v>248</v>
      </c>
      <c r="E275" s="68" t="s">
        <v>152</v>
      </c>
      <c r="F275" s="131">
        <f>F276</f>
        <v>1384.9</v>
      </c>
      <c r="G275" s="65"/>
      <c r="H275" s="90"/>
      <c r="I275" s="90"/>
      <c r="J275" s="90"/>
      <c r="K275" s="90"/>
      <c r="L275" s="90"/>
      <c r="M275" s="90"/>
    </row>
    <row r="276" spans="1:13" s="52" customFormat="1" ht="21.75" customHeight="1" x14ac:dyDescent="0.2">
      <c r="A276" s="70" t="s">
        <v>153</v>
      </c>
      <c r="B276" s="68" t="s">
        <v>242</v>
      </c>
      <c r="C276" s="67" t="s">
        <v>122</v>
      </c>
      <c r="D276" s="68" t="s">
        <v>248</v>
      </c>
      <c r="E276" s="68" t="s">
        <v>154</v>
      </c>
      <c r="F276" s="131">
        <f>'ПР 7 ведом'!G174</f>
        <v>1384.9</v>
      </c>
      <c r="G276" s="65"/>
      <c r="H276" s="90"/>
      <c r="I276" s="90"/>
      <c r="J276" s="90"/>
      <c r="K276" s="90"/>
      <c r="L276" s="90"/>
      <c r="M276" s="90"/>
    </row>
    <row r="277" spans="1:13" s="52" customFormat="1" ht="28.5" customHeight="1" x14ac:dyDescent="0.2">
      <c r="A277" s="66" t="s">
        <v>129</v>
      </c>
      <c r="B277" s="68" t="s">
        <v>242</v>
      </c>
      <c r="C277" s="67" t="s">
        <v>122</v>
      </c>
      <c r="D277" s="218" t="s">
        <v>248</v>
      </c>
      <c r="E277" s="68" t="s">
        <v>130</v>
      </c>
      <c r="F277" s="131">
        <f>F278</f>
        <v>28683.699999999997</v>
      </c>
      <c r="G277" s="65"/>
      <c r="H277" s="90"/>
      <c r="I277" s="90"/>
      <c r="J277" s="90"/>
      <c r="K277" s="90"/>
      <c r="L277" s="90"/>
      <c r="M277" s="90"/>
    </row>
    <row r="278" spans="1:13" s="52" customFormat="1" ht="13.5" customHeight="1" x14ac:dyDescent="0.2">
      <c r="A278" s="66" t="s">
        <v>131</v>
      </c>
      <c r="B278" s="68" t="s">
        <v>242</v>
      </c>
      <c r="C278" s="67" t="s">
        <v>122</v>
      </c>
      <c r="D278" s="218" t="s">
        <v>248</v>
      </c>
      <c r="E278" s="68" t="s">
        <v>132</v>
      </c>
      <c r="F278" s="131">
        <f>F279</f>
        <v>28683.699999999997</v>
      </c>
      <c r="G278" s="65"/>
      <c r="H278" s="90"/>
      <c r="I278" s="90"/>
      <c r="J278" s="90"/>
      <c r="K278" s="90"/>
      <c r="L278" s="90"/>
      <c r="M278" s="90"/>
    </row>
    <row r="279" spans="1:13" s="52" customFormat="1" ht="35.25" customHeight="1" x14ac:dyDescent="0.2">
      <c r="A279" s="66" t="s">
        <v>133</v>
      </c>
      <c r="B279" s="68" t="s">
        <v>242</v>
      </c>
      <c r="C279" s="67" t="s">
        <v>122</v>
      </c>
      <c r="D279" s="218" t="s">
        <v>248</v>
      </c>
      <c r="E279" s="68" t="s">
        <v>134</v>
      </c>
      <c r="F279" s="131">
        <f>'ПР 7 ведом'!G177</f>
        <v>28683.699999999997</v>
      </c>
      <c r="G279" s="65"/>
      <c r="H279" s="90"/>
      <c r="I279" s="90"/>
      <c r="J279" s="90"/>
      <c r="K279" s="90"/>
      <c r="L279" s="90"/>
      <c r="M279" s="90"/>
    </row>
    <row r="280" spans="1:13" s="52" customFormat="1" ht="13.5" customHeight="1" x14ac:dyDescent="0.2">
      <c r="A280" s="70" t="s">
        <v>172</v>
      </c>
      <c r="B280" s="68" t="s">
        <v>242</v>
      </c>
      <c r="C280" s="67" t="s">
        <v>254</v>
      </c>
      <c r="D280" s="68" t="s">
        <v>257</v>
      </c>
      <c r="E280" s="68" t="s">
        <v>235</v>
      </c>
      <c r="F280" s="131">
        <f>F281</f>
        <v>65</v>
      </c>
      <c r="G280" s="65"/>
      <c r="H280" s="90"/>
      <c r="I280" s="90"/>
      <c r="J280" s="90"/>
      <c r="K280" s="90"/>
      <c r="L280" s="90"/>
      <c r="M280" s="90"/>
    </row>
    <row r="281" spans="1:13" s="52" customFormat="1" ht="13.5" customHeight="1" x14ac:dyDescent="0.2">
      <c r="A281" s="70" t="s">
        <v>173</v>
      </c>
      <c r="B281" s="68" t="s">
        <v>242</v>
      </c>
      <c r="C281" s="67" t="s">
        <v>254</v>
      </c>
      <c r="D281" s="68" t="s">
        <v>257</v>
      </c>
      <c r="E281" s="68" t="s">
        <v>174</v>
      </c>
      <c r="F281" s="131">
        <f>F282+F283</f>
        <v>65</v>
      </c>
      <c r="G281" s="65"/>
      <c r="H281" s="90"/>
      <c r="I281" s="90"/>
      <c r="J281" s="90"/>
      <c r="K281" s="90"/>
      <c r="L281" s="90"/>
      <c r="M281" s="90"/>
    </row>
    <row r="282" spans="1:13" s="52" customFormat="1" ht="13.5" customHeight="1" x14ac:dyDescent="0.2">
      <c r="A282" s="75" t="s">
        <v>175</v>
      </c>
      <c r="B282" s="68" t="s">
        <v>242</v>
      </c>
      <c r="C282" s="67" t="s">
        <v>254</v>
      </c>
      <c r="D282" s="68" t="s">
        <v>257</v>
      </c>
      <c r="E282" s="68" t="s">
        <v>176</v>
      </c>
      <c r="F282" s="131">
        <f>'ПР 7 ведом'!G180</f>
        <v>13</v>
      </c>
      <c r="G282" s="65"/>
      <c r="H282" s="90"/>
      <c r="I282" s="90"/>
      <c r="J282" s="90"/>
      <c r="K282" s="90"/>
      <c r="L282" s="90"/>
      <c r="M282" s="90"/>
    </row>
    <row r="283" spans="1:13" s="52" customFormat="1" ht="13.5" customHeight="1" x14ac:dyDescent="0.2">
      <c r="A283" s="70" t="s">
        <v>564</v>
      </c>
      <c r="B283" s="68" t="s">
        <v>242</v>
      </c>
      <c r="C283" s="67" t="s">
        <v>254</v>
      </c>
      <c r="D283" s="68" t="s">
        <v>257</v>
      </c>
      <c r="E283" s="68">
        <v>853</v>
      </c>
      <c r="F283" s="131">
        <f>'ПР 7 ведом'!G181</f>
        <v>52</v>
      </c>
      <c r="G283" s="65"/>
      <c r="H283" s="90"/>
      <c r="I283" s="90"/>
      <c r="J283" s="90"/>
      <c r="K283" s="90"/>
      <c r="L283" s="90"/>
      <c r="M283" s="90"/>
    </row>
    <row r="284" spans="1:13" s="52" customFormat="1" ht="67.5" x14ac:dyDescent="0.2">
      <c r="A284" s="83" t="s">
        <v>74</v>
      </c>
      <c r="B284" s="68" t="s">
        <v>242</v>
      </c>
      <c r="C284" s="67" t="s">
        <v>122</v>
      </c>
      <c r="D284" s="68" t="s">
        <v>249</v>
      </c>
      <c r="E284" s="84" t="s">
        <v>184</v>
      </c>
      <c r="F284" s="135">
        <f>F285+F289+F292</f>
        <v>45700</v>
      </c>
      <c r="G284" s="286"/>
      <c r="H284" s="90"/>
      <c r="I284" s="90"/>
      <c r="J284" s="90"/>
      <c r="K284" s="90"/>
      <c r="L284" s="90"/>
      <c r="M284" s="90"/>
    </row>
    <row r="285" spans="1:13" s="52" customFormat="1" ht="45" x14ac:dyDescent="0.2">
      <c r="A285" s="66" t="s">
        <v>139</v>
      </c>
      <c r="B285" s="68" t="s">
        <v>242</v>
      </c>
      <c r="C285" s="67" t="s">
        <v>122</v>
      </c>
      <c r="D285" s="68" t="s">
        <v>249</v>
      </c>
      <c r="E285" s="68" t="s">
        <v>140</v>
      </c>
      <c r="F285" s="131">
        <f>F286</f>
        <v>6646.7</v>
      </c>
      <c r="G285" s="65"/>
      <c r="H285" s="90"/>
      <c r="I285" s="90"/>
      <c r="J285" s="90"/>
      <c r="K285" s="90"/>
      <c r="L285" s="90"/>
      <c r="M285" s="90"/>
    </row>
    <row r="286" spans="1:13" s="52" customFormat="1" ht="13.5" customHeight="1" x14ac:dyDescent="0.2">
      <c r="A286" s="66" t="s">
        <v>141</v>
      </c>
      <c r="B286" s="68" t="s">
        <v>242</v>
      </c>
      <c r="C286" s="67" t="s">
        <v>122</v>
      </c>
      <c r="D286" s="68" t="s">
        <v>249</v>
      </c>
      <c r="E286" s="68">
        <v>110</v>
      </c>
      <c r="F286" s="131">
        <f>F287+F288</f>
        <v>6646.7</v>
      </c>
      <c r="G286" s="65"/>
      <c r="H286" s="90"/>
      <c r="I286" s="90"/>
      <c r="J286" s="90"/>
      <c r="K286" s="90"/>
      <c r="L286" s="90"/>
      <c r="M286" s="90"/>
    </row>
    <row r="287" spans="1:13" s="52" customFormat="1" ht="13.5" customHeight="1" x14ac:dyDescent="0.2">
      <c r="A287" s="66" t="s">
        <v>142</v>
      </c>
      <c r="B287" s="68" t="s">
        <v>242</v>
      </c>
      <c r="C287" s="67" t="s">
        <v>122</v>
      </c>
      <c r="D287" s="68" t="s">
        <v>249</v>
      </c>
      <c r="E287" s="68">
        <v>111</v>
      </c>
      <c r="F287" s="131">
        <f>'ПР 7 ведом'!G185</f>
        <v>5105</v>
      </c>
      <c r="G287" s="65"/>
      <c r="H287" s="90"/>
      <c r="I287" s="90"/>
      <c r="J287" s="90"/>
      <c r="K287" s="90"/>
      <c r="L287" s="90"/>
      <c r="M287" s="90"/>
    </row>
    <row r="288" spans="1:13" s="52" customFormat="1" ht="34.5" customHeight="1" x14ac:dyDescent="0.2">
      <c r="A288" s="69" t="s">
        <v>143</v>
      </c>
      <c r="B288" s="68" t="s">
        <v>242</v>
      </c>
      <c r="C288" s="67" t="s">
        <v>122</v>
      </c>
      <c r="D288" s="68" t="s">
        <v>249</v>
      </c>
      <c r="E288" s="68">
        <v>119</v>
      </c>
      <c r="F288" s="131">
        <f>'ПР 7 ведом'!G186</f>
        <v>1541.7</v>
      </c>
      <c r="G288" s="65"/>
      <c r="H288" s="90"/>
      <c r="I288" s="90"/>
      <c r="J288" s="90"/>
      <c r="K288" s="90"/>
      <c r="L288" s="90"/>
      <c r="M288" s="90"/>
    </row>
    <row r="289" spans="1:13" s="52" customFormat="1" ht="24" customHeight="1" x14ac:dyDescent="0.2">
      <c r="A289" s="66" t="s">
        <v>149</v>
      </c>
      <c r="B289" s="68" t="s">
        <v>242</v>
      </c>
      <c r="C289" s="67" t="s">
        <v>122</v>
      </c>
      <c r="D289" s="68" t="s">
        <v>249</v>
      </c>
      <c r="E289" s="68" t="s">
        <v>150</v>
      </c>
      <c r="F289" s="131">
        <f>F290</f>
        <v>50</v>
      </c>
      <c r="G289" s="65"/>
      <c r="H289" s="90"/>
      <c r="I289" s="90"/>
      <c r="J289" s="90"/>
      <c r="K289" s="90"/>
      <c r="L289" s="90"/>
      <c r="M289" s="90"/>
    </row>
    <row r="290" spans="1:13" s="52" customFormat="1" ht="24" customHeight="1" x14ac:dyDescent="0.2">
      <c r="A290" s="66" t="s">
        <v>151</v>
      </c>
      <c r="B290" s="68" t="s">
        <v>242</v>
      </c>
      <c r="C290" s="67" t="s">
        <v>122</v>
      </c>
      <c r="D290" s="68" t="s">
        <v>249</v>
      </c>
      <c r="E290" s="68" t="s">
        <v>152</v>
      </c>
      <c r="F290" s="131">
        <f>F291</f>
        <v>50</v>
      </c>
      <c r="G290" s="65"/>
      <c r="H290" s="90"/>
      <c r="I290" s="90"/>
      <c r="J290" s="90"/>
      <c r="K290" s="90"/>
      <c r="L290" s="90"/>
      <c r="M290" s="90"/>
    </row>
    <row r="291" spans="1:13" s="52" customFormat="1" ht="24" customHeight="1" x14ac:dyDescent="0.2">
      <c r="A291" s="70" t="s">
        <v>153</v>
      </c>
      <c r="B291" s="68" t="s">
        <v>242</v>
      </c>
      <c r="C291" s="67" t="s">
        <v>122</v>
      </c>
      <c r="D291" s="68" t="s">
        <v>249</v>
      </c>
      <c r="E291" s="68" t="s">
        <v>154</v>
      </c>
      <c r="F291" s="131">
        <f>'ПР 7 ведом'!G189</f>
        <v>50</v>
      </c>
      <c r="G291" s="65"/>
      <c r="H291" s="90"/>
      <c r="I291" s="90"/>
      <c r="J291" s="90"/>
      <c r="K291" s="90"/>
      <c r="L291" s="90"/>
      <c r="M291" s="90"/>
    </row>
    <row r="292" spans="1:13" s="52" customFormat="1" ht="36.75" customHeight="1" x14ac:dyDescent="0.2">
      <c r="A292" s="66" t="s">
        <v>129</v>
      </c>
      <c r="B292" s="68" t="s">
        <v>242</v>
      </c>
      <c r="C292" s="67" t="s">
        <v>122</v>
      </c>
      <c r="D292" s="68" t="s">
        <v>249</v>
      </c>
      <c r="E292" s="68" t="s">
        <v>130</v>
      </c>
      <c r="F292" s="131">
        <f>F293</f>
        <v>39003.300000000003</v>
      </c>
      <c r="G292" s="65"/>
      <c r="H292" s="90"/>
      <c r="I292" s="90"/>
      <c r="J292" s="90"/>
      <c r="K292" s="90"/>
      <c r="L292" s="90"/>
      <c r="M292" s="90"/>
    </row>
    <row r="293" spans="1:13" s="52" customFormat="1" ht="13.5" customHeight="1" x14ac:dyDescent="0.2">
      <c r="A293" s="66" t="s">
        <v>131</v>
      </c>
      <c r="B293" s="68" t="s">
        <v>242</v>
      </c>
      <c r="C293" s="67" t="s">
        <v>122</v>
      </c>
      <c r="D293" s="68" t="s">
        <v>249</v>
      </c>
      <c r="E293" s="68" t="s">
        <v>132</v>
      </c>
      <c r="F293" s="131">
        <f>F294</f>
        <v>39003.300000000003</v>
      </c>
      <c r="G293" s="65"/>
      <c r="H293" s="90"/>
      <c r="I293" s="90"/>
      <c r="J293" s="90"/>
      <c r="K293" s="90"/>
      <c r="L293" s="90"/>
      <c r="M293" s="90"/>
    </row>
    <row r="294" spans="1:13" s="52" customFormat="1" ht="33" customHeight="1" x14ac:dyDescent="0.2">
      <c r="A294" s="66" t="s">
        <v>133</v>
      </c>
      <c r="B294" s="68" t="s">
        <v>242</v>
      </c>
      <c r="C294" s="67" t="s">
        <v>122</v>
      </c>
      <c r="D294" s="68" t="s">
        <v>249</v>
      </c>
      <c r="E294" s="68" t="s">
        <v>134</v>
      </c>
      <c r="F294" s="131">
        <f>'ПР 7 ведом'!G192</f>
        <v>39003.300000000003</v>
      </c>
      <c r="G294" s="65"/>
      <c r="H294" s="90"/>
      <c r="I294" s="90"/>
      <c r="J294" s="90"/>
      <c r="K294" s="90"/>
      <c r="L294" s="90"/>
      <c r="M294" s="90"/>
    </row>
    <row r="295" spans="1:13" s="52" customFormat="1" ht="33" customHeight="1" x14ac:dyDescent="0.2">
      <c r="A295" s="66" t="s">
        <v>250</v>
      </c>
      <c r="B295" s="68" t="s">
        <v>242</v>
      </c>
      <c r="C295" s="67" t="s">
        <v>122</v>
      </c>
      <c r="D295" s="68" t="s">
        <v>251</v>
      </c>
      <c r="E295" s="68"/>
      <c r="F295" s="131">
        <f>F296</f>
        <v>287.10000000000002</v>
      </c>
      <c r="G295" s="65"/>
      <c r="H295" s="90"/>
      <c r="I295" s="90"/>
      <c r="J295" s="90"/>
      <c r="K295" s="90"/>
      <c r="L295" s="90"/>
      <c r="M295" s="90"/>
    </row>
    <row r="296" spans="1:13" s="52" customFormat="1" ht="33" customHeight="1" x14ac:dyDescent="0.2">
      <c r="A296" s="85" t="s">
        <v>83</v>
      </c>
      <c r="B296" s="68" t="s">
        <v>242</v>
      </c>
      <c r="C296" s="67" t="s">
        <v>122</v>
      </c>
      <c r="D296" s="68" t="s">
        <v>252</v>
      </c>
      <c r="E296" s="68"/>
      <c r="F296" s="131">
        <f>F297+F300</f>
        <v>287.10000000000002</v>
      </c>
      <c r="G296" s="65"/>
      <c r="H296" s="90"/>
      <c r="I296" s="90"/>
      <c r="J296" s="90"/>
      <c r="K296" s="90"/>
      <c r="L296" s="90"/>
      <c r="M296" s="90"/>
    </row>
    <row r="297" spans="1:13" s="52" customFormat="1" ht="33" customHeight="1" x14ac:dyDescent="0.2">
      <c r="A297" s="66" t="s">
        <v>139</v>
      </c>
      <c r="B297" s="68" t="s">
        <v>242</v>
      </c>
      <c r="C297" s="67" t="s">
        <v>122</v>
      </c>
      <c r="D297" s="68" t="s">
        <v>252</v>
      </c>
      <c r="E297" s="68">
        <v>100</v>
      </c>
      <c r="F297" s="131">
        <f>F299</f>
        <v>36.299999999999997</v>
      </c>
      <c r="G297" s="65"/>
      <c r="H297" s="90"/>
      <c r="I297" s="90"/>
      <c r="J297" s="90"/>
      <c r="K297" s="90"/>
      <c r="L297" s="90"/>
      <c r="M297" s="90"/>
    </row>
    <row r="298" spans="1:13" s="52" customFormat="1" x14ac:dyDescent="0.2">
      <c r="A298" s="66" t="s">
        <v>141</v>
      </c>
      <c r="B298" s="68" t="s">
        <v>242</v>
      </c>
      <c r="C298" s="67" t="s">
        <v>122</v>
      </c>
      <c r="D298" s="68" t="s">
        <v>252</v>
      </c>
      <c r="E298" s="68">
        <v>110</v>
      </c>
      <c r="F298" s="131">
        <f>F299</f>
        <v>36.299999999999997</v>
      </c>
      <c r="G298" s="65"/>
      <c r="H298" s="90"/>
      <c r="I298" s="90"/>
      <c r="J298" s="90"/>
      <c r="K298" s="90"/>
      <c r="L298" s="90"/>
      <c r="M298" s="90"/>
    </row>
    <row r="299" spans="1:13" s="52" customFormat="1" ht="22.5" x14ac:dyDescent="0.2">
      <c r="A299" s="70" t="s">
        <v>148</v>
      </c>
      <c r="B299" s="68" t="s">
        <v>242</v>
      </c>
      <c r="C299" s="67" t="s">
        <v>122</v>
      </c>
      <c r="D299" s="68" t="s">
        <v>252</v>
      </c>
      <c r="E299" s="68">
        <v>112</v>
      </c>
      <c r="F299" s="131">
        <f>'ПР 7 ведом'!G197</f>
        <v>36.299999999999997</v>
      </c>
      <c r="G299" s="65"/>
      <c r="H299" s="90"/>
      <c r="I299" s="90"/>
      <c r="J299" s="90"/>
      <c r="K299" s="90"/>
      <c r="L299" s="90"/>
      <c r="M299" s="90"/>
    </row>
    <row r="300" spans="1:13" s="52" customFormat="1" ht="22.5" x14ac:dyDescent="0.2">
      <c r="A300" s="66" t="s">
        <v>129</v>
      </c>
      <c r="B300" s="68" t="s">
        <v>242</v>
      </c>
      <c r="C300" s="67" t="s">
        <v>122</v>
      </c>
      <c r="D300" s="68" t="s">
        <v>252</v>
      </c>
      <c r="E300" s="68">
        <v>600</v>
      </c>
      <c r="F300" s="131">
        <f>F302</f>
        <v>250.8</v>
      </c>
      <c r="G300" s="65"/>
      <c r="H300" s="90"/>
      <c r="I300" s="90"/>
      <c r="J300" s="90"/>
      <c r="K300" s="90"/>
      <c r="L300" s="90"/>
      <c r="M300" s="90"/>
    </row>
    <row r="301" spans="1:13" s="52" customFormat="1" x14ac:dyDescent="0.2">
      <c r="A301" s="66" t="s">
        <v>131</v>
      </c>
      <c r="B301" s="68" t="s">
        <v>242</v>
      </c>
      <c r="C301" s="67" t="s">
        <v>122</v>
      </c>
      <c r="D301" s="68" t="s">
        <v>252</v>
      </c>
      <c r="E301" s="68">
        <v>610</v>
      </c>
      <c r="F301" s="131">
        <f>F302</f>
        <v>250.8</v>
      </c>
      <c r="G301" s="65"/>
      <c r="H301" s="90"/>
      <c r="I301" s="90"/>
      <c r="J301" s="90"/>
      <c r="K301" s="90"/>
      <c r="L301" s="90"/>
      <c r="M301" s="90"/>
    </row>
    <row r="302" spans="1:13" s="52" customFormat="1" ht="45" x14ac:dyDescent="0.2">
      <c r="A302" s="66" t="s">
        <v>133</v>
      </c>
      <c r="B302" s="68" t="s">
        <v>242</v>
      </c>
      <c r="C302" s="67" t="s">
        <v>122</v>
      </c>
      <c r="D302" s="68" t="s">
        <v>252</v>
      </c>
      <c r="E302" s="68">
        <v>611</v>
      </c>
      <c r="F302" s="131">
        <f>'ПР 7 ведом'!G200</f>
        <v>250.8</v>
      </c>
      <c r="G302" s="65"/>
      <c r="H302" s="90"/>
      <c r="I302" s="90"/>
      <c r="J302" s="90"/>
      <c r="K302" s="90"/>
      <c r="L302" s="90"/>
      <c r="M302" s="90"/>
    </row>
    <row r="303" spans="1:13" s="283" customFormat="1" x14ac:dyDescent="0.2">
      <c r="A303" s="61" t="s">
        <v>253</v>
      </c>
      <c r="B303" s="96" t="s">
        <v>242</v>
      </c>
      <c r="C303" s="94" t="s">
        <v>254</v>
      </c>
      <c r="D303" s="96" t="s">
        <v>183</v>
      </c>
      <c r="E303" s="96" t="s">
        <v>184</v>
      </c>
      <c r="F303" s="138">
        <f>F304+F336</f>
        <v>196378.3</v>
      </c>
      <c r="G303" s="64"/>
      <c r="H303" s="281"/>
      <c r="I303" s="282"/>
      <c r="J303" s="282"/>
      <c r="K303" s="282"/>
      <c r="L303" s="282"/>
      <c r="M303" s="282"/>
    </row>
    <row r="304" spans="1:13" s="86" customFormat="1" ht="12.75" customHeight="1" x14ac:dyDescent="0.2">
      <c r="A304" s="83" t="s">
        <v>255</v>
      </c>
      <c r="B304" s="68" t="s">
        <v>242</v>
      </c>
      <c r="C304" s="67" t="s">
        <v>254</v>
      </c>
      <c r="D304" s="68" t="s">
        <v>256</v>
      </c>
      <c r="E304" s="84" t="s">
        <v>184</v>
      </c>
      <c r="F304" s="135">
        <f>F319+F305+F332</f>
        <v>195375.09999999998</v>
      </c>
      <c r="G304" s="286"/>
      <c r="H304" s="153"/>
      <c r="I304" s="153"/>
      <c r="J304" s="153"/>
      <c r="K304" s="153"/>
      <c r="L304" s="153"/>
      <c r="M304" s="153"/>
    </row>
    <row r="305" spans="1:13" s="86" customFormat="1" ht="12.75" customHeight="1" x14ac:dyDescent="0.2">
      <c r="A305" s="71" t="s">
        <v>127</v>
      </c>
      <c r="B305" s="68" t="s">
        <v>242</v>
      </c>
      <c r="C305" s="67" t="s">
        <v>254</v>
      </c>
      <c r="D305" s="68" t="s">
        <v>257</v>
      </c>
      <c r="E305" s="84"/>
      <c r="F305" s="135">
        <f>F306+F315+F310</f>
        <v>15942.300000000001</v>
      </c>
      <c r="G305" s="286"/>
      <c r="H305" s="153"/>
      <c r="I305" s="153"/>
      <c r="J305" s="153"/>
      <c r="K305" s="153"/>
      <c r="L305" s="153"/>
      <c r="M305" s="153"/>
    </row>
    <row r="306" spans="1:13" s="52" customFormat="1" ht="24.75" customHeight="1" x14ac:dyDescent="0.2">
      <c r="A306" s="66" t="s">
        <v>149</v>
      </c>
      <c r="B306" s="68" t="s">
        <v>242</v>
      </c>
      <c r="C306" s="67" t="s">
        <v>254</v>
      </c>
      <c r="D306" s="68" t="s">
        <v>257</v>
      </c>
      <c r="E306" s="68" t="s">
        <v>150</v>
      </c>
      <c r="F306" s="131">
        <f>SUM(F307)</f>
        <v>1765.1</v>
      </c>
      <c r="G306" s="65"/>
      <c r="H306" s="90"/>
      <c r="I306" s="90"/>
      <c r="J306" s="90"/>
      <c r="K306" s="90"/>
      <c r="L306" s="90"/>
      <c r="M306" s="90"/>
    </row>
    <row r="307" spans="1:13" s="52" customFormat="1" ht="24.75" customHeight="1" x14ac:dyDescent="0.2">
      <c r="A307" s="66" t="s">
        <v>151</v>
      </c>
      <c r="B307" s="68" t="s">
        <v>242</v>
      </c>
      <c r="C307" s="67" t="s">
        <v>254</v>
      </c>
      <c r="D307" s="68" t="s">
        <v>257</v>
      </c>
      <c r="E307" s="68" t="s">
        <v>152</v>
      </c>
      <c r="F307" s="131">
        <f>SUM(F308:F309)</f>
        <v>1765.1</v>
      </c>
      <c r="G307" s="65"/>
      <c r="H307" s="90"/>
      <c r="I307" s="90"/>
      <c r="J307" s="90"/>
      <c r="K307" s="90"/>
      <c r="L307" s="90"/>
      <c r="M307" s="90"/>
    </row>
    <row r="308" spans="1:13" s="52" customFormat="1" ht="24.75" customHeight="1" x14ac:dyDescent="0.2">
      <c r="A308" s="115" t="s">
        <v>171</v>
      </c>
      <c r="B308" s="68" t="s">
        <v>242</v>
      </c>
      <c r="C308" s="67" t="s">
        <v>254</v>
      </c>
      <c r="D308" s="68" t="s">
        <v>257</v>
      </c>
      <c r="E308" s="68">
        <v>242</v>
      </c>
      <c r="F308" s="131">
        <f>'ПР 7 ведом'!G206</f>
        <v>20</v>
      </c>
      <c r="G308" s="65"/>
      <c r="H308" s="90"/>
      <c r="I308" s="90"/>
      <c r="J308" s="90"/>
      <c r="K308" s="90"/>
      <c r="L308" s="90"/>
      <c r="M308" s="90"/>
    </row>
    <row r="309" spans="1:13" s="52" customFormat="1" ht="24.75" customHeight="1" x14ac:dyDescent="0.2">
      <c r="A309" s="70" t="s">
        <v>153</v>
      </c>
      <c r="B309" s="68" t="s">
        <v>242</v>
      </c>
      <c r="C309" s="67" t="s">
        <v>254</v>
      </c>
      <c r="D309" s="68" t="s">
        <v>257</v>
      </c>
      <c r="E309" s="68">
        <v>244</v>
      </c>
      <c r="F309" s="131">
        <f>'ПР 7 ведом'!G207</f>
        <v>1745.1</v>
      </c>
      <c r="G309" s="65"/>
      <c r="H309" s="90"/>
      <c r="I309" s="90"/>
      <c r="J309" s="90"/>
      <c r="K309" s="90"/>
      <c r="L309" s="90"/>
      <c r="M309" s="90"/>
    </row>
    <row r="310" spans="1:13" s="52" customFormat="1" ht="32.25" customHeight="1" x14ac:dyDescent="0.2">
      <c r="A310" s="66" t="s">
        <v>129</v>
      </c>
      <c r="B310" s="68" t="s">
        <v>242</v>
      </c>
      <c r="C310" s="68" t="s">
        <v>254</v>
      </c>
      <c r="D310" s="218" t="s">
        <v>257</v>
      </c>
      <c r="E310" s="68" t="s">
        <v>130</v>
      </c>
      <c r="F310" s="131">
        <f>F311+F313</f>
        <v>14127.2</v>
      </c>
      <c r="G310" s="65"/>
      <c r="H310" s="90"/>
      <c r="I310" s="90"/>
      <c r="J310" s="90"/>
      <c r="K310" s="90"/>
      <c r="L310" s="90"/>
      <c r="M310" s="90"/>
    </row>
    <row r="311" spans="1:13" s="52" customFormat="1" ht="15" customHeight="1" x14ac:dyDescent="0.2">
      <c r="A311" s="66" t="s">
        <v>131</v>
      </c>
      <c r="B311" s="68" t="s">
        <v>242</v>
      </c>
      <c r="C311" s="68" t="s">
        <v>254</v>
      </c>
      <c r="D311" s="218" t="s">
        <v>257</v>
      </c>
      <c r="E311" s="68" t="s">
        <v>132</v>
      </c>
      <c r="F311" s="131">
        <f>F312</f>
        <v>12577</v>
      </c>
      <c r="G311" s="65"/>
      <c r="H311" s="90"/>
      <c r="I311" s="90"/>
      <c r="J311" s="90"/>
      <c r="K311" s="90"/>
      <c r="L311" s="90"/>
      <c r="M311" s="90"/>
    </row>
    <row r="312" spans="1:13" s="52" customFormat="1" ht="34.5" customHeight="1" x14ac:dyDescent="0.2">
      <c r="A312" s="66" t="s">
        <v>133</v>
      </c>
      <c r="B312" s="68" t="s">
        <v>242</v>
      </c>
      <c r="C312" s="68" t="s">
        <v>254</v>
      </c>
      <c r="D312" s="218" t="s">
        <v>257</v>
      </c>
      <c r="E312" s="68" t="s">
        <v>134</v>
      </c>
      <c r="F312" s="131">
        <f>'ПР 7 ведом'!G210</f>
        <v>12577</v>
      </c>
      <c r="G312" s="65"/>
      <c r="H312" s="90"/>
      <c r="I312" s="90"/>
      <c r="J312" s="90"/>
      <c r="K312" s="90"/>
      <c r="L312" s="90"/>
      <c r="M312" s="90"/>
    </row>
    <row r="313" spans="1:13" s="52" customFormat="1" ht="11.25" customHeight="1" x14ac:dyDescent="0.2">
      <c r="A313" s="66" t="s">
        <v>444</v>
      </c>
      <c r="B313" s="68" t="s">
        <v>242</v>
      </c>
      <c r="C313" s="68" t="s">
        <v>254</v>
      </c>
      <c r="D313" s="218" t="s">
        <v>257</v>
      </c>
      <c r="E313" s="68">
        <v>620</v>
      </c>
      <c r="F313" s="131">
        <f>F314</f>
        <v>1550.2</v>
      </c>
      <c r="G313" s="65"/>
      <c r="H313" s="90"/>
      <c r="I313" s="90"/>
      <c r="J313" s="90"/>
      <c r="K313" s="90"/>
      <c r="L313" s="90"/>
      <c r="M313" s="90"/>
    </row>
    <row r="314" spans="1:13" s="52" customFormat="1" ht="34.5" customHeight="1" x14ac:dyDescent="0.2">
      <c r="A314" s="66" t="s">
        <v>445</v>
      </c>
      <c r="B314" s="68" t="s">
        <v>242</v>
      </c>
      <c r="C314" s="68" t="s">
        <v>254</v>
      </c>
      <c r="D314" s="218" t="s">
        <v>257</v>
      </c>
      <c r="E314" s="68">
        <v>621</v>
      </c>
      <c r="F314" s="131">
        <f>'ПР 7 ведом'!G212</f>
        <v>1550.2</v>
      </c>
      <c r="G314" s="65"/>
      <c r="H314" s="90"/>
      <c r="I314" s="90"/>
      <c r="J314" s="90"/>
      <c r="K314" s="90"/>
      <c r="L314" s="90"/>
      <c r="M314" s="90"/>
    </row>
    <row r="315" spans="1:13" s="52" customFormat="1" ht="12" customHeight="1" x14ac:dyDescent="0.2">
      <c r="A315" s="70" t="s">
        <v>172</v>
      </c>
      <c r="B315" s="68" t="s">
        <v>242</v>
      </c>
      <c r="C315" s="67" t="s">
        <v>254</v>
      </c>
      <c r="D315" s="68" t="s">
        <v>257</v>
      </c>
      <c r="E315" s="68" t="s">
        <v>235</v>
      </c>
      <c r="F315" s="131">
        <f>SUM(F316)</f>
        <v>50</v>
      </c>
      <c r="G315" s="65"/>
      <c r="H315" s="90"/>
      <c r="I315" s="90"/>
      <c r="J315" s="90"/>
      <c r="K315" s="90"/>
      <c r="L315" s="90"/>
      <c r="M315" s="90"/>
    </row>
    <row r="316" spans="1:13" s="52" customFormat="1" ht="12" customHeight="1" x14ac:dyDescent="0.2">
      <c r="A316" s="70" t="s">
        <v>173</v>
      </c>
      <c r="B316" s="68" t="s">
        <v>242</v>
      </c>
      <c r="C316" s="67" t="s">
        <v>254</v>
      </c>
      <c r="D316" s="68" t="s">
        <v>257</v>
      </c>
      <c r="E316" s="68" t="s">
        <v>174</v>
      </c>
      <c r="F316" s="131">
        <f>SUM(F317:F318)</f>
        <v>50</v>
      </c>
      <c r="G316" s="65"/>
      <c r="H316" s="90"/>
      <c r="I316" s="90"/>
      <c r="J316" s="90"/>
      <c r="K316" s="90"/>
      <c r="L316" s="90"/>
      <c r="M316" s="90"/>
    </row>
    <row r="317" spans="1:13" s="52" customFormat="1" ht="12" customHeight="1" x14ac:dyDescent="0.2">
      <c r="A317" s="75" t="s">
        <v>175</v>
      </c>
      <c r="B317" s="68" t="s">
        <v>242</v>
      </c>
      <c r="C317" s="67" t="s">
        <v>254</v>
      </c>
      <c r="D317" s="68" t="s">
        <v>257</v>
      </c>
      <c r="E317" s="68" t="s">
        <v>176</v>
      </c>
      <c r="F317" s="131">
        <f>'ПР 7 ведом'!G215</f>
        <v>22</v>
      </c>
      <c r="G317" s="65"/>
      <c r="H317" s="90"/>
      <c r="I317" s="90"/>
      <c r="J317" s="90"/>
      <c r="K317" s="90"/>
      <c r="L317" s="90"/>
      <c r="M317" s="90"/>
    </row>
    <row r="318" spans="1:13" s="52" customFormat="1" ht="21" customHeight="1" x14ac:dyDescent="0.2">
      <c r="A318" s="70" t="s">
        <v>564</v>
      </c>
      <c r="B318" s="68" t="s">
        <v>242</v>
      </c>
      <c r="C318" s="67" t="s">
        <v>254</v>
      </c>
      <c r="D318" s="68" t="s">
        <v>257</v>
      </c>
      <c r="E318" s="68">
        <v>853</v>
      </c>
      <c r="F318" s="131">
        <f>'ПР 7 ведом'!G216</f>
        <v>28</v>
      </c>
      <c r="G318" s="65"/>
      <c r="H318" s="90"/>
      <c r="I318" s="90"/>
      <c r="J318" s="90"/>
      <c r="K318" s="90"/>
      <c r="L318" s="90"/>
      <c r="M318" s="90"/>
    </row>
    <row r="319" spans="1:13" s="52" customFormat="1" ht="21" customHeight="1" x14ac:dyDescent="0.2">
      <c r="A319" s="66" t="s">
        <v>259</v>
      </c>
      <c r="B319" s="68" t="s">
        <v>242</v>
      </c>
      <c r="C319" s="67" t="s">
        <v>254</v>
      </c>
      <c r="D319" s="68" t="s">
        <v>260</v>
      </c>
      <c r="E319" s="68" t="s">
        <v>184</v>
      </c>
      <c r="F319" s="131">
        <f>F320+F324+F327</f>
        <v>177698</v>
      </c>
      <c r="G319" s="65"/>
      <c r="H319" s="90"/>
      <c r="I319" s="90"/>
      <c r="J319" s="90"/>
      <c r="K319" s="90"/>
      <c r="L319" s="90"/>
      <c r="M319" s="90"/>
    </row>
    <row r="320" spans="1:13" s="52" customFormat="1" ht="45" x14ac:dyDescent="0.2">
      <c r="A320" s="66" t="s">
        <v>139</v>
      </c>
      <c r="B320" s="68" t="s">
        <v>242</v>
      </c>
      <c r="C320" s="67" t="s">
        <v>254</v>
      </c>
      <c r="D320" s="68" t="s">
        <v>260</v>
      </c>
      <c r="E320" s="68" t="s">
        <v>140</v>
      </c>
      <c r="F320" s="131">
        <f>F321</f>
        <v>11262.3</v>
      </c>
      <c r="G320" s="65"/>
      <c r="H320" s="90"/>
      <c r="I320" s="90"/>
      <c r="J320" s="90"/>
      <c r="K320" s="90"/>
      <c r="L320" s="90"/>
      <c r="M320" s="90"/>
    </row>
    <row r="321" spans="1:13" s="52" customFormat="1" ht="14.25" customHeight="1" x14ac:dyDescent="0.2">
      <c r="A321" s="66" t="s">
        <v>141</v>
      </c>
      <c r="B321" s="68" t="s">
        <v>242</v>
      </c>
      <c r="C321" s="67" t="s">
        <v>254</v>
      </c>
      <c r="D321" s="68" t="s">
        <v>260</v>
      </c>
      <c r="E321" s="68">
        <v>110</v>
      </c>
      <c r="F321" s="131">
        <f>F322+F323</f>
        <v>11262.3</v>
      </c>
      <c r="G321" s="65"/>
      <c r="H321" s="90"/>
      <c r="I321" s="90"/>
      <c r="J321" s="90"/>
      <c r="K321" s="90"/>
      <c r="L321" s="90"/>
      <c r="M321" s="90"/>
    </row>
    <row r="322" spans="1:13" s="52" customFormat="1" ht="14.25" customHeight="1" x14ac:dyDescent="0.2">
      <c r="A322" s="66" t="s">
        <v>142</v>
      </c>
      <c r="B322" s="68" t="s">
        <v>242</v>
      </c>
      <c r="C322" s="67" t="s">
        <v>254</v>
      </c>
      <c r="D322" s="68" t="s">
        <v>260</v>
      </c>
      <c r="E322" s="68">
        <v>111</v>
      </c>
      <c r="F322" s="131">
        <f>'ПР 7 ведом'!G220</f>
        <v>8650</v>
      </c>
      <c r="G322" s="65"/>
      <c r="H322" s="90"/>
      <c r="I322" s="90"/>
      <c r="J322" s="90"/>
      <c r="K322" s="90"/>
      <c r="L322" s="90"/>
      <c r="M322" s="90"/>
    </row>
    <row r="323" spans="1:13" s="52" customFormat="1" ht="34.5" customHeight="1" x14ac:dyDescent="0.2">
      <c r="A323" s="69" t="s">
        <v>143</v>
      </c>
      <c r="B323" s="68" t="s">
        <v>242</v>
      </c>
      <c r="C323" s="67" t="s">
        <v>254</v>
      </c>
      <c r="D323" s="68" t="s">
        <v>260</v>
      </c>
      <c r="E323" s="68">
        <v>119</v>
      </c>
      <c r="F323" s="131">
        <f>'ПР 7 ведом'!G221</f>
        <v>2612.3000000000002</v>
      </c>
      <c r="G323" s="65"/>
      <c r="H323" s="90"/>
      <c r="I323" s="90"/>
      <c r="J323" s="90"/>
      <c r="K323" s="90"/>
      <c r="L323" s="90"/>
      <c r="M323" s="90"/>
    </row>
    <row r="324" spans="1:13" s="52" customFormat="1" ht="25.5" customHeight="1" x14ac:dyDescent="0.2">
      <c r="A324" s="66" t="s">
        <v>149</v>
      </c>
      <c r="B324" s="68" t="s">
        <v>242</v>
      </c>
      <c r="C324" s="67" t="s">
        <v>254</v>
      </c>
      <c r="D324" s="68" t="s">
        <v>260</v>
      </c>
      <c r="E324" s="68" t="s">
        <v>150</v>
      </c>
      <c r="F324" s="131">
        <f>SUM(F325)</f>
        <v>50</v>
      </c>
      <c r="G324" s="65"/>
      <c r="H324" s="90"/>
      <c r="I324" s="90"/>
      <c r="J324" s="90"/>
      <c r="K324" s="90"/>
      <c r="L324" s="90"/>
      <c r="M324" s="90"/>
    </row>
    <row r="325" spans="1:13" s="52" customFormat="1" ht="20.25" customHeight="1" x14ac:dyDescent="0.2">
      <c r="A325" s="66" t="s">
        <v>151</v>
      </c>
      <c r="B325" s="68" t="s">
        <v>242</v>
      </c>
      <c r="C325" s="67" t="s">
        <v>254</v>
      </c>
      <c r="D325" s="68" t="s">
        <v>260</v>
      </c>
      <c r="E325" s="68" t="s">
        <v>152</v>
      </c>
      <c r="F325" s="131">
        <f>SUM(F326)</f>
        <v>50</v>
      </c>
      <c r="G325" s="65"/>
      <c r="H325" s="90"/>
      <c r="I325" s="90"/>
      <c r="J325" s="90"/>
      <c r="K325" s="90"/>
      <c r="L325" s="90"/>
      <c r="M325" s="90"/>
    </row>
    <row r="326" spans="1:13" s="52" customFormat="1" ht="20.25" customHeight="1" x14ac:dyDescent="0.2">
      <c r="A326" s="70" t="s">
        <v>153</v>
      </c>
      <c r="B326" s="68" t="s">
        <v>242</v>
      </c>
      <c r="C326" s="67" t="s">
        <v>254</v>
      </c>
      <c r="D326" s="68" t="s">
        <v>260</v>
      </c>
      <c r="E326" s="68" t="s">
        <v>154</v>
      </c>
      <c r="F326" s="131">
        <f>'ПР 7 ведом'!G224</f>
        <v>50</v>
      </c>
      <c r="G326" s="65"/>
      <c r="H326" s="90"/>
      <c r="I326" s="90"/>
      <c r="J326" s="90"/>
      <c r="K326" s="90"/>
      <c r="L326" s="90"/>
      <c r="M326" s="90"/>
    </row>
    <row r="327" spans="1:13" s="52" customFormat="1" ht="36" customHeight="1" x14ac:dyDescent="0.2">
      <c r="A327" s="66" t="s">
        <v>129</v>
      </c>
      <c r="B327" s="68" t="s">
        <v>242</v>
      </c>
      <c r="C327" s="68" t="s">
        <v>254</v>
      </c>
      <c r="D327" s="218" t="s">
        <v>260</v>
      </c>
      <c r="E327" s="68" t="s">
        <v>130</v>
      </c>
      <c r="F327" s="131">
        <f>F328+F330</f>
        <v>166385.70000000001</v>
      </c>
      <c r="G327" s="65"/>
      <c r="H327" s="90"/>
      <c r="I327" s="90"/>
      <c r="J327" s="90"/>
      <c r="K327" s="90"/>
      <c r="L327" s="90"/>
      <c r="M327" s="90"/>
    </row>
    <row r="328" spans="1:13" s="52" customFormat="1" ht="13.5" customHeight="1" x14ac:dyDescent="0.2">
      <c r="A328" s="66" t="s">
        <v>131</v>
      </c>
      <c r="B328" s="68" t="s">
        <v>242</v>
      </c>
      <c r="C328" s="68" t="s">
        <v>254</v>
      </c>
      <c r="D328" s="218" t="s">
        <v>260</v>
      </c>
      <c r="E328" s="68" t="s">
        <v>132</v>
      </c>
      <c r="F328" s="131">
        <f>F329</f>
        <v>146897.1</v>
      </c>
      <c r="G328" s="65"/>
      <c r="H328" s="90"/>
      <c r="I328" s="90"/>
      <c r="J328" s="90"/>
      <c r="K328" s="90"/>
      <c r="L328" s="90"/>
      <c r="M328" s="90"/>
    </row>
    <row r="329" spans="1:13" s="52" customFormat="1" ht="35.25" customHeight="1" x14ac:dyDescent="0.2">
      <c r="A329" s="66" t="s">
        <v>133</v>
      </c>
      <c r="B329" s="68" t="s">
        <v>242</v>
      </c>
      <c r="C329" s="68" t="s">
        <v>254</v>
      </c>
      <c r="D329" s="218" t="s">
        <v>260</v>
      </c>
      <c r="E329" s="68" t="s">
        <v>134</v>
      </c>
      <c r="F329" s="131">
        <f>'ПР 7 ведом'!G227</f>
        <v>146897.1</v>
      </c>
      <c r="G329" s="65"/>
      <c r="H329" s="90"/>
      <c r="I329" s="90"/>
      <c r="J329" s="90"/>
      <c r="K329" s="90"/>
      <c r="L329" s="90"/>
      <c r="M329" s="90"/>
    </row>
    <row r="330" spans="1:13" s="52" customFormat="1" ht="10.5" customHeight="1" x14ac:dyDescent="0.2">
      <c r="A330" s="66" t="s">
        <v>444</v>
      </c>
      <c r="B330" s="68" t="s">
        <v>242</v>
      </c>
      <c r="C330" s="68" t="s">
        <v>254</v>
      </c>
      <c r="D330" s="218" t="s">
        <v>260</v>
      </c>
      <c r="E330" s="68">
        <v>620</v>
      </c>
      <c r="F330" s="131">
        <f>F331</f>
        <v>19488.599999999999</v>
      </c>
      <c r="G330" s="65"/>
      <c r="H330" s="90"/>
      <c r="I330" s="90"/>
      <c r="J330" s="90"/>
      <c r="K330" s="90"/>
      <c r="L330" s="90"/>
      <c r="M330" s="90"/>
    </row>
    <row r="331" spans="1:13" s="52" customFormat="1" ht="36" customHeight="1" x14ac:dyDescent="0.2">
      <c r="A331" s="66" t="s">
        <v>445</v>
      </c>
      <c r="B331" s="68" t="s">
        <v>242</v>
      </c>
      <c r="C331" s="68" t="s">
        <v>254</v>
      </c>
      <c r="D331" s="218" t="s">
        <v>260</v>
      </c>
      <c r="E331" s="68">
        <v>621</v>
      </c>
      <c r="F331" s="131">
        <f>'ПР 7 ведом'!G229</f>
        <v>19488.599999999999</v>
      </c>
      <c r="G331" s="65"/>
      <c r="H331" s="90"/>
      <c r="I331" s="90"/>
      <c r="J331" s="90"/>
      <c r="K331" s="90"/>
      <c r="L331" s="90"/>
      <c r="M331" s="90"/>
    </row>
    <row r="332" spans="1:13" s="52" customFormat="1" ht="13.5" customHeight="1" x14ac:dyDescent="0.2">
      <c r="A332" s="66" t="s">
        <v>665</v>
      </c>
      <c r="B332" s="68" t="s">
        <v>242</v>
      </c>
      <c r="C332" s="68" t="s">
        <v>254</v>
      </c>
      <c r="D332" s="218" t="s">
        <v>566</v>
      </c>
      <c r="E332" s="68" t="s">
        <v>184</v>
      </c>
      <c r="F332" s="131">
        <f>F333</f>
        <v>1734.8</v>
      </c>
      <c r="G332" s="65"/>
      <c r="H332" s="90"/>
      <c r="I332" s="90"/>
      <c r="J332" s="90"/>
      <c r="K332" s="90"/>
      <c r="L332" s="90"/>
      <c r="M332" s="90"/>
    </row>
    <row r="333" spans="1:13" s="52" customFormat="1" ht="13.5" customHeight="1" x14ac:dyDescent="0.2">
      <c r="A333" s="83" t="s">
        <v>129</v>
      </c>
      <c r="B333" s="68" t="s">
        <v>242</v>
      </c>
      <c r="C333" s="68" t="s">
        <v>254</v>
      </c>
      <c r="D333" s="218" t="s">
        <v>566</v>
      </c>
      <c r="E333" s="68" t="s">
        <v>130</v>
      </c>
      <c r="F333" s="131">
        <f>F334</f>
        <v>1734.8</v>
      </c>
      <c r="G333" s="65"/>
      <c r="H333" s="90"/>
      <c r="I333" s="90"/>
      <c r="J333" s="90"/>
      <c r="K333" s="90"/>
      <c r="L333" s="90"/>
      <c r="M333" s="90"/>
    </row>
    <row r="334" spans="1:13" s="52" customFormat="1" ht="13.5" customHeight="1" x14ac:dyDescent="0.2">
      <c r="A334" s="83" t="s">
        <v>131</v>
      </c>
      <c r="B334" s="68" t="s">
        <v>242</v>
      </c>
      <c r="C334" s="68" t="s">
        <v>254</v>
      </c>
      <c r="D334" s="218" t="s">
        <v>566</v>
      </c>
      <c r="E334" s="68" t="s">
        <v>132</v>
      </c>
      <c r="F334" s="131">
        <f>F335</f>
        <v>1734.8</v>
      </c>
      <c r="G334" s="65"/>
      <c r="H334" s="90"/>
      <c r="I334" s="90"/>
      <c r="J334" s="90"/>
      <c r="K334" s="90"/>
      <c r="L334" s="90"/>
      <c r="M334" s="90"/>
    </row>
    <row r="335" spans="1:13" s="52" customFormat="1" ht="13.5" customHeight="1" x14ac:dyDescent="0.2">
      <c r="A335" s="66" t="s">
        <v>567</v>
      </c>
      <c r="B335" s="68" t="s">
        <v>242</v>
      </c>
      <c r="C335" s="68" t="s">
        <v>254</v>
      </c>
      <c r="D335" s="218" t="s">
        <v>566</v>
      </c>
      <c r="E335" s="68">
        <v>612</v>
      </c>
      <c r="F335" s="131">
        <f>'ПР 7 ведом'!G243</f>
        <v>1734.8</v>
      </c>
      <c r="G335" s="65"/>
      <c r="H335" s="90"/>
      <c r="I335" s="90"/>
      <c r="J335" s="90"/>
      <c r="K335" s="90"/>
      <c r="L335" s="90"/>
      <c r="M335" s="90"/>
    </row>
    <row r="336" spans="1:13" s="92" customFormat="1" ht="22.5" customHeight="1" x14ac:dyDescent="0.2">
      <c r="A336" s="66" t="s">
        <v>250</v>
      </c>
      <c r="B336" s="68" t="s">
        <v>242</v>
      </c>
      <c r="C336" s="67" t="s">
        <v>254</v>
      </c>
      <c r="D336" s="68" t="s">
        <v>251</v>
      </c>
      <c r="E336" s="68"/>
      <c r="F336" s="131">
        <f>F337</f>
        <v>1003.2</v>
      </c>
      <c r="G336" s="286"/>
      <c r="H336" s="158"/>
      <c r="I336" s="158"/>
      <c r="J336" s="158"/>
      <c r="K336" s="158"/>
      <c r="L336" s="158"/>
      <c r="M336" s="158"/>
    </row>
    <row r="337" spans="1:13" s="92" customFormat="1" ht="12.75" customHeight="1" x14ac:dyDescent="0.2">
      <c r="A337" s="85" t="s">
        <v>83</v>
      </c>
      <c r="B337" s="68" t="s">
        <v>242</v>
      </c>
      <c r="C337" s="67" t="s">
        <v>254</v>
      </c>
      <c r="D337" s="68" t="s">
        <v>252</v>
      </c>
      <c r="E337" s="68"/>
      <c r="F337" s="131">
        <f>F338+F341</f>
        <v>1003.2</v>
      </c>
      <c r="G337" s="286"/>
      <c r="H337" s="158"/>
      <c r="I337" s="158"/>
      <c r="J337" s="158"/>
      <c r="K337" s="158"/>
      <c r="L337" s="158"/>
      <c r="M337" s="158"/>
    </row>
    <row r="338" spans="1:13" s="92" customFormat="1" ht="12.75" customHeight="1" x14ac:dyDescent="0.2">
      <c r="A338" s="83" t="s">
        <v>139</v>
      </c>
      <c r="B338" s="68" t="s">
        <v>242</v>
      </c>
      <c r="C338" s="68" t="s">
        <v>254</v>
      </c>
      <c r="D338" s="68" t="s">
        <v>252</v>
      </c>
      <c r="E338" s="68">
        <v>100</v>
      </c>
      <c r="F338" s="131">
        <f>F339</f>
        <v>46.2</v>
      </c>
      <c r="G338" s="286"/>
      <c r="H338" s="158"/>
      <c r="I338" s="158"/>
      <c r="J338" s="158"/>
      <c r="K338" s="158"/>
      <c r="L338" s="158"/>
      <c r="M338" s="158"/>
    </row>
    <row r="339" spans="1:13" s="92" customFormat="1" ht="12.75" customHeight="1" x14ac:dyDescent="0.2">
      <c r="A339" s="83" t="s">
        <v>141</v>
      </c>
      <c r="B339" s="68" t="s">
        <v>242</v>
      </c>
      <c r="C339" s="68" t="s">
        <v>254</v>
      </c>
      <c r="D339" s="68" t="s">
        <v>252</v>
      </c>
      <c r="E339" s="68">
        <v>110</v>
      </c>
      <c r="F339" s="131">
        <f>F340</f>
        <v>46.2</v>
      </c>
      <c r="G339" s="286"/>
      <c r="H339" s="158"/>
      <c r="I339" s="158"/>
      <c r="J339" s="158"/>
      <c r="K339" s="158"/>
      <c r="L339" s="158"/>
      <c r="M339" s="158"/>
    </row>
    <row r="340" spans="1:13" s="92" customFormat="1" ht="12.75" customHeight="1" x14ac:dyDescent="0.2">
      <c r="A340" s="115" t="s">
        <v>565</v>
      </c>
      <c r="B340" s="68" t="s">
        <v>242</v>
      </c>
      <c r="C340" s="68" t="s">
        <v>254</v>
      </c>
      <c r="D340" s="68" t="s">
        <v>252</v>
      </c>
      <c r="E340" s="68">
        <v>112</v>
      </c>
      <c r="F340" s="131">
        <f>'ПР 7 ведом'!G234</f>
        <v>46.2</v>
      </c>
      <c r="G340" s="286"/>
      <c r="H340" s="158"/>
      <c r="I340" s="158"/>
      <c r="J340" s="158"/>
      <c r="K340" s="158"/>
      <c r="L340" s="158"/>
      <c r="M340" s="158"/>
    </row>
    <row r="341" spans="1:13" s="52" customFormat="1" ht="33.75" customHeight="1" x14ac:dyDescent="0.2">
      <c r="A341" s="66" t="s">
        <v>129</v>
      </c>
      <c r="B341" s="68" t="s">
        <v>242</v>
      </c>
      <c r="C341" s="67" t="s">
        <v>254</v>
      </c>
      <c r="D341" s="68" t="s">
        <v>252</v>
      </c>
      <c r="E341" s="68">
        <v>600</v>
      </c>
      <c r="F341" s="131">
        <f>F342+F344</f>
        <v>957</v>
      </c>
      <c r="G341" s="65"/>
      <c r="H341" s="90"/>
      <c r="I341" s="90"/>
      <c r="J341" s="90"/>
      <c r="K341" s="90"/>
      <c r="L341" s="90"/>
      <c r="M341" s="90"/>
    </row>
    <row r="342" spans="1:13" s="52" customFormat="1" ht="15.75" customHeight="1" x14ac:dyDescent="0.2">
      <c r="A342" s="66" t="s">
        <v>131</v>
      </c>
      <c r="B342" s="68" t="s">
        <v>242</v>
      </c>
      <c r="C342" s="67" t="s">
        <v>254</v>
      </c>
      <c r="D342" s="68" t="s">
        <v>252</v>
      </c>
      <c r="E342" s="68">
        <v>610</v>
      </c>
      <c r="F342" s="131">
        <f>F343</f>
        <v>858</v>
      </c>
      <c r="G342" s="65"/>
      <c r="H342" s="90"/>
      <c r="I342" s="90"/>
      <c r="J342" s="90"/>
      <c r="K342" s="90"/>
      <c r="L342" s="90"/>
      <c r="M342" s="90"/>
    </row>
    <row r="343" spans="1:13" s="52" customFormat="1" ht="45" x14ac:dyDescent="0.2">
      <c r="A343" s="66" t="s">
        <v>133</v>
      </c>
      <c r="B343" s="68" t="s">
        <v>242</v>
      </c>
      <c r="C343" s="67" t="s">
        <v>254</v>
      </c>
      <c r="D343" s="68" t="s">
        <v>252</v>
      </c>
      <c r="E343" s="68">
        <v>611</v>
      </c>
      <c r="F343" s="131">
        <f>'ПР 7 ведом'!G237</f>
        <v>858</v>
      </c>
      <c r="G343" s="65"/>
      <c r="H343" s="90"/>
      <c r="I343" s="90"/>
      <c r="J343" s="90"/>
      <c r="K343" s="90"/>
      <c r="L343" s="90"/>
      <c r="M343" s="90"/>
    </row>
    <row r="344" spans="1:13" s="52" customFormat="1" x14ac:dyDescent="0.2">
      <c r="A344" s="66" t="s">
        <v>444</v>
      </c>
      <c r="B344" s="68" t="s">
        <v>242</v>
      </c>
      <c r="C344" s="67" t="s">
        <v>254</v>
      </c>
      <c r="D344" s="68" t="s">
        <v>252</v>
      </c>
      <c r="E344" s="68">
        <v>620</v>
      </c>
      <c r="F344" s="131">
        <f>F345</f>
        <v>99</v>
      </c>
      <c r="G344" s="296"/>
      <c r="H344" s="57"/>
      <c r="I344" s="57"/>
      <c r="J344" s="57"/>
      <c r="K344" s="228"/>
      <c r="L344" s="286"/>
      <c r="M344" s="90"/>
    </row>
    <row r="345" spans="1:13" s="52" customFormat="1" ht="45" x14ac:dyDescent="0.2">
      <c r="A345" s="66" t="s">
        <v>445</v>
      </c>
      <c r="B345" s="68" t="s">
        <v>242</v>
      </c>
      <c r="C345" s="67" t="s">
        <v>254</v>
      </c>
      <c r="D345" s="68" t="s">
        <v>252</v>
      </c>
      <c r="E345" s="68">
        <v>621</v>
      </c>
      <c r="F345" s="131">
        <f>'ПР 7 ведом'!G239</f>
        <v>99</v>
      </c>
      <c r="G345" s="296"/>
      <c r="H345" s="57"/>
      <c r="I345" s="57"/>
      <c r="J345" s="57"/>
      <c r="K345" s="228"/>
      <c r="L345" s="286"/>
      <c r="M345" s="90"/>
    </row>
    <row r="346" spans="1:13" s="52" customFormat="1" x14ac:dyDescent="0.2">
      <c r="A346" s="212" t="s">
        <v>447</v>
      </c>
      <c r="B346" s="96" t="s">
        <v>242</v>
      </c>
      <c r="C346" s="94" t="s">
        <v>188</v>
      </c>
      <c r="D346" s="68"/>
      <c r="E346" s="68"/>
      <c r="F346" s="138">
        <f>F347+F352</f>
        <v>47139.399999999994</v>
      </c>
      <c r="G346" s="297"/>
      <c r="H346" s="57"/>
      <c r="I346" s="57"/>
      <c r="J346" s="57"/>
      <c r="K346" s="57"/>
      <c r="L346" s="65"/>
      <c r="M346" s="90"/>
    </row>
    <row r="347" spans="1:13" s="52" customFormat="1" x14ac:dyDescent="0.2">
      <c r="A347" s="83" t="s">
        <v>448</v>
      </c>
      <c r="B347" s="68" t="s">
        <v>242</v>
      </c>
      <c r="C347" s="67" t="s">
        <v>188</v>
      </c>
      <c r="D347" s="68" t="s">
        <v>449</v>
      </c>
      <c r="E347" s="84" t="s">
        <v>184</v>
      </c>
      <c r="F347" s="135">
        <f>F348</f>
        <v>46871.399999999994</v>
      </c>
      <c r="G347" s="298"/>
      <c r="H347" s="57"/>
      <c r="I347" s="57"/>
      <c r="J347" s="57"/>
      <c r="K347" s="57"/>
      <c r="L347" s="65"/>
      <c r="M347" s="90"/>
    </row>
    <row r="348" spans="1:13" s="52" customFormat="1" x14ac:dyDescent="0.2">
      <c r="A348" s="83" t="s">
        <v>450</v>
      </c>
      <c r="B348" s="68" t="s">
        <v>242</v>
      </c>
      <c r="C348" s="67" t="s">
        <v>188</v>
      </c>
      <c r="D348" s="68" t="s">
        <v>451</v>
      </c>
      <c r="E348" s="84" t="s">
        <v>184</v>
      </c>
      <c r="F348" s="135">
        <f>F349</f>
        <v>46871.399999999994</v>
      </c>
      <c r="G348" s="298"/>
      <c r="H348" s="57"/>
      <c r="I348" s="57"/>
      <c r="J348" s="57"/>
      <c r="K348" s="57"/>
      <c r="L348" s="65"/>
      <c r="M348" s="90"/>
    </row>
    <row r="349" spans="1:13" s="52" customFormat="1" ht="22.5" x14ac:dyDescent="0.2">
      <c r="A349" s="66" t="s">
        <v>129</v>
      </c>
      <c r="B349" s="68" t="s">
        <v>242</v>
      </c>
      <c r="C349" s="67" t="s">
        <v>188</v>
      </c>
      <c r="D349" s="68" t="s">
        <v>451</v>
      </c>
      <c r="E349" s="68">
        <v>600</v>
      </c>
      <c r="F349" s="131">
        <f>F350</f>
        <v>46871.399999999994</v>
      </c>
      <c r="G349" s="65"/>
      <c r="H349" s="90"/>
      <c r="I349" s="90"/>
      <c r="J349" s="90"/>
      <c r="K349" s="90"/>
      <c r="L349" s="90"/>
      <c r="M349" s="90"/>
    </row>
    <row r="350" spans="1:13" s="52" customFormat="1" x14ac:dyDescent="0.2">
      <c r="A350" s="66" t="s">
        <v>131</v>
      </c>
      <c r="B350" s="68" t="s">
        <v>242</v>
      </c>
      <c r="C350" s="67" t="s">
        <v>188</v>
      </c>
      <c r="D350" s="68" t="s">
        <v>451</v>
      </c>
      <c r="E350" s="68">
        <v>610</v>
      </c>
      <c r="F350" s="131">
        <f>F351</f>
        <v>46871.399999999994</v>
      </c>
      <c r="G350" s="65"/>
      <c r="H350" s="90"/>
      <c r="I350" s="90"/>
      <c r="J350" s="90"/>
      <c r="K350" s="90"/>
      <c r="L350" s="90"/>
      <c r="M350" s="90"/>
    </row>
    <row r="351" spans="1:13" s="92" customFormat="1" ht="22.5" customHeight="1" x14ac:dyDescent="0.2">
      <c r="A351" s="66" t="s">
        <v>133</v>
      </c>
      <c r="B351" s="68" t="s">
        <v>242</v>
      </c>
      <c r="C351" s="67" t="s">
        <v>188</v>
      </c>
      <c r="D351" s="68" t="s">
        <v>451</v>
      </c>
      <c r="E351" s="68">
        <v>611</v>
      </c>
      <c r="F351" s="131">
        <f>'ПР 7 ведом'!G22+'ПР 7 ведом'!G248</f>
        <v>46871.399999999994</v>
      </c>
      <c r="G351" s="286"/>
      <c r="H351" s="158"/>
      <c r="I351" s="158"/>
      <c r="J351" s="158"/>
      <c r="K351" s="158"/>
      <c r="L351" s="158"/>
      <c r="M351" s="158"/>
    </row>
    <row r="352" spans="1:13" s="92" customFormat="1" ht="22.5" customHeight="1" x14ac:dyDescent="0.2">
      <c r="A352" s="83" t="s">
        <v>568</v>
      </c>
      <c r="B352" s="84" t="s">
        <v>242</v>
      </c>
      <c r="C352" s="87" t="s">
        <v>188</v>
      </c>
      <c r="D352" s="84" t="s">
        <v>251</v>
      </c>
      <c r="E352" s="84"/>
      <c r="F352" s="131">
        <f>F353</f>
        <v>268</v>
      </c>
      <c r="G352" s="286"/>
      <c r="H352" s="158"/>
      <c r="I352" s="158"/>
      <c r="J352" s="158"/>
      <c r="K352" s="158"/>
      <c r="L352" s="158"/>
      <c r="M352" s="158"/>
    </row>
    <row r="353" spans="1:13" s="92" customFormat="1" ht="22.5" customHeight="1" x14ac:dyDescent="0.2">
      <c r="A353" s="83" t="s">
        <v>129</v>
      </c>
      <c r="B353" s="84" t="s">
        <v>242</v>
      </c>
      <c r="C353" s="87" t="s">
        <v>188</v>
      </c>
      <c r="D353" s="84" t="s">
        <v>252</v>
      </c>
      <c r="E353" s="68">
        <v>600</v>
      </c>
      <c r="F353" s="131">
        <f>F354</f>
        <v>268</v>
      </c>
      <c r="G353" s="286"/>
      <c r="H353" s="158"/>
      <c r="I353" s="158"/>
      <c r="J353" s="158"/>
      <c r="K353" s="158"/>
      <c r="L353" s="158"/>
      <c r="M353" s="158"/>
    </row>
    <row r="354" spans="1:13" s="92" customFormat="1" ht="22.5" customHeight="1" x14ac:dyDescent="0.2">
      <c r="A354" s="83" t="s">
        <v>131</v>
      </c>
      <c r="B354" s="84" t="s">
        <v>242</v>
      </c>
      <c r="C354" s="87" t="s">
        <v>188</v>
      </c>
      <c r="D354" s="84" t="s">
        <v>252</v>
      </c>
      <c r="E354" s="68">
        <v>610</v>
      </c>
      <c r="F354" s="131">
        <f>F355</f>
        <v>268</v>
      </c>
      <c r="G354" s="286"/>
      <c r="H354" s="158"/>
      <c r="I354" s="158"/>
      <c r="J354" s="158"/>
      <c r="K354" s="158"/>
      <c r="L354" s="158"/>
      <c r="M354" s="158"/>
    </row>
    <row r="355" spans="1:13" s="92" customFormat="1" ht="22.5" customHeight="1" x14ac:dyDescent="0.2">
      <c r="A355" s="83" t="s">
        <v>133</v>
      </c>
      <c r="B355" s="84" t="s">
        <v>242</v>
      </c>
      <c r="C355" s="87" t="s">
        <v>188</v>
      </c>
      <c r="D355" s="84" t="s">
        <v>252</v>
      </c>
      <c r="E355" s="68">
        <v>611</v>
      </c>
      <c r="F355" s="131">
        <f>'ПР 7 ведом'!G27+'ПР 7 ведом'!G253</f>
        <v>268</v>
      </c>
      <c r="G355" s="286"/>
      <c r="H355" s="158"/>
      <c r="I355" s="158"/>
      <c r="J355" s="158"/>
      <c r="K355" s="158"/>
      <c r="L355" s="158"/>
      <c r="M355" s="158"/>
    </row>
    <row r="356" spans="1:13" s="74" customFormat="1" x14ac:dyDescent="0.2">
      <c r="A356" s="61" t="s">
        <v>504</v>
      </c>
      <c r="B356" s="94" t="s">
        <v>242</v>
      </c>
      <c r="C356" s="94" t="s">
        <v>242</v>
      </c>
      <c r="D356" s="96"/>
      <c r="E356" s="96"/>
      <c r="F356" s="138">
        <f>F357+F364</f>
        <v>2401.8999999999996</v>
      </c>
      <c r="G356" s="294"/>
      <c r="H356" s="150"/>
      <c r="I356" s="150"/>
      <c r="J356" s="150"/>
      <c r="K356" s="150"/>
      <c r="L356" s="150"/>
      <c r="M356" s="150"/>
    </row>
    <row r="357" spans="1:13" s="74" customFormat="1" ht="21.75" customHeight="1" x14ac:dyDescent="0.2">
      <c r="A357" s="83" t="s">
        <v>506</v>
      </c>
      <c r="B357" s="68" t="s">
        <v>242</v>
      </c>
      <c r="C357" s="68" t="s">
        <v>242</v>
      </c>
      <c r="D357" s="68" t="s">
        <v>507</v>
      </c>
      <c r="E357" s="84" t="s">
        <v>184</v>
      </c>
      <c r="F357" s="135">
        <f>F358</f>
        <v>2341.8999999999996</v>
      </c>
      <c r="G357" s="294"/>
      <c r="H357" s="150"/>
      <c r="I357" s="150"/>
      <c r="J357" s="150"/>
      <c r="K357" s="150"/>
      <c r="L357" s="150"/>
      <c r="M357" s="150"/>
    </row>
    <row r="358" spans="1:13" s="74" customFormat="1" ht="21.75" customHeight="1" x14ac:dyDescent="0.2">
      <c r="A358" s="83" t="s">
        <v>508</v>
      </c>
      <c r="B358" s="68" t="s">
        <v>242</v>
      </c>
      <c r="C358" s="67" t="s">
        <v>242</v>
      </c>
      <c r="D358" s="68" t="s">
        <v>509</v>
      </c>
      <c r="E358" s="84"/>
      <c r="F358" s="135">
        <f>F359</f>
        <v>2341.8999999999996</v>
      </c>
      <c r="G358" s="294"/>
      <c r="H358" s="150"/>
      <c r="I358" s="150"/>
      <c r="J358" s="150"/>
      <c r="K358" s="150"/>
      <c r="L358" s="150"/>
      <c r="M358" s="150"/>
    </row>
    <row r="359" spans="1:13" s="52" customFormat="1" ht="21.75" customHeight="1" x14ac:dyDescent="0.2">
      <c r="A359" s="66" t="s">
        <v>129</v>
      </c>
      <c r="B359" s="68" t="s">
        <v>242</v>
      </c>
      <c r="C359" s="67" t="s">
        <v>242</v>
      </c>
      <c r="D359" s="68" t="s">
        <v>510</v>
      </c>
      <c r="E359" s="68">
        <v>600</v>
      </c>
      <c r="F359" s="131">
        <f>F360+F362</f>
        <v>2341.8999999999996</v>
      </c>
      <c r="G359" s="65"/>
      <c r="H359" s="90"/>
      <c r="I359" s="90"/>
      <c r="J359" s="90"/>
      <c r="K359" s="90"/>
      <c r="L359" s="90"/>
      <c r="M359" s="90"/>
    </row>
    <row r="360" spans="1:13" s="52" customFormat="1" ht="21.75" customHeight="1" x14ac:dyDescent="0.2">
      <c r="A360" s="66" t="s">
        <v>131</v>
      </c>
      <c r="B360" s="68" t="s">
        <v>242</v>
      </c>
      <c r="C360" s="67" t="s">
        <v>242</v>
      </c>
      <c r="D360" s="68" t="s">
        <v>510</v>
      </c>
      <c r="E360" s="68">
        <v>610</v>
      </c>
      <c r="F360" s="131">
        <f>F361</f>
        <v>2169.6999999999998</v>
      </c>
      <c r="G360" s="65"/>
      <c r="H360" s="90"/>
      <c r="I360" s="90"/>
      <c r="J360" s="90"/>
      <c r="K360" s="90"/>
      <c r="L360" s="90"/>
      <c r="M360" s="90"/>
    </row>
    <row r="361" spans="1:13" s="52" customFormat="1" ht="22.5" customHeight="1" x14ac:dyDescent="0.2">
      <c r="A361" s="66" t="s">
        <v>133</v>
      </c>
      <c r="B361" s="68" t="s">
        <v>242</v>
      </c>
      <c r="C361" s="67" t="s">
        <v>242</v>
      </c>
      <c r="D361" s="68" t="s">
        <v>510</v>
      </c>
      <c r="E361" s="68">
        <v>611</v>
      </c>
      <c r="F361" s="131">
        <f>'ПР 7 ведом'!G260</f>
        <v>2169.6999999999998</v>
      </c>
      <c r="G361" s="65"/>
      <c r="H361" s="90"/>
      <c r="I361" s="90"/>
      <c r="J361" s="90"/>
      <c r="K361" s="90"/>
      <c r="L361" s="90"/>
      <c r="M361" s="90"/>
    </row>
    <row r="362" spans="1:13" s="52" customFormat="1" ht="20.25" customHeight="1" x14ac:dyDescent="0.2">
      <c r="A362" s="66" t="s">
        <v>444</v>
      </c>
      <c r="B362" s="68" t="s">
        <v>242</v>
      </c>
      <c r="C362" s="67" t="s">
        <v>242</v>
      </c>
      <c r="D362" s="68" t="s">
        <v>510</v>
      </c>
      <c r="E362" s="68">
        <v>620</v>
      </c>
      <c r="F362" s="131">
        <f>F363</f>
        <v>172.2</v>
      </c>
      <c r="G362" s="65"/>
      <c r="H362" s="90"/>
      <c r="I362" s="90"/>
      <c r="J362" s="90"/>
      <c r="K362" s="90"/>
      <c r="L362" s="90"/>
      <c r="M362" s="90"/>
    </row>
    <row r="363" spans="1:13" s="52" customFormat="1" ht="21" customHeight="1" x14ac:dyDescent="0.2">
      <c r="A363" s="66" t="s">
        <v>445</v>
      </c>
      <c r="B363" s="68" t="s">
        <v>242</v>
      </c>
      <c r="C363" s="67" t="s">
        <v>242</v>
      </c>
      <c r="D363" s="68" t="s">
        <v>510</v>
      </c>
      <c r="E363" s="68">
        <v>621</v>
      </c>
      <c r="F363" s="131">
        <f>'ПР 7 ведом'!G262</f>
        <v>172.2</v>
      </c>
      <c r="G363" s="65"/>
      <c r="H363" s="90"/>
      <c r="I363" s="90"/>
      <c r="J363" s="90"/>
      <c r="K363" s="90"/>
      <c r="L363" s="90"/>
      <c r="M363" s="90"/>
    </row>
    <row r="364" spans="1:13" s="52" customFormat="1" ht="20.25" customHeight="1" x14ac:dyDescent="0.2">
      <c r="A364" s="66" t="s">
        <v>452</v>
      </c>
      <c r="B364" s="67" t="s">
        <v>242</v>
      </c>
      <c r="C364" s="67" t="s">
        <v>242</v>
      </c>
      <c r="D364" s="68" t="s">
        <v>453</v>
      </c>
      <c r="E364" s="68"/>
      <c r="F364" s="131">
        <f>F365</f>
        <v>60</v>
      </c>
      <c r="G364" s="65"/>
      <c r="H364" s="90"/>
      <c r="I364" s="90"/>
      <c r="J364" s="90"/>
      <c r="K364" s="90"/>
      <c r="L364" s="90"/>
      <c r="M364" s="90"/>
    </row>
    <row r="365" spans="1:13" s="52" customFormat="1" ht="33.75" customHeight="1" x14ac:dyDescent="0.2">
      <c r="A365" s="299" t="s">
        <v>454</v>
      </c>
      <c r="B365" s="67" t="s">
        <v>242</v>
      </c>
      <c r="C365" s="67" t="s">
        <v>242</v>
      </c>
      <c r="D365" s="68" t="s">
        <v>455</v>
      </c>
      <c r="E365" s="68"/>
      <c r="F365" s="131">
        <f>F366</f>
        <v>60</v>
      </c>
      <c r="G365" s="65"/>
      <c r="H365" s="90"/>
      <c r="I365" s="90"/>
      <c r="J365" s="90"/>
      <c r="K365" s="90"/>
      <c r="L365" s="90"/>
      <c r="M365" s="90"/>
    </row>
    <row r="366" spans="1:13" s="52" customFormat="1" ht="22.5" x14ac:dyDescent="0.2">
      <c r="A366" s="66" t="s">
        <v>149</v>
      </c>
      <c r="B366" s="67" t="s">
        <v>242</v>
      </c>
      <c r="C366" s="67" t="s">
        <v>242</v>
      </c>
      <c r="D366" s="68" t="s">
        <v>455</v>
      </c>
      <c r="E366" s="68">
        <v>200</v>
      </c>
      <c r="F366" s="131">
        <f>F367</f>
        <v>60</v>
      </c>
      <c r="G366" s="64"/>
      <c r="H366" s="148"/>
      <c r="I366" s="90"/>
      <c r="J366" s="90"/>
      <c r="K366" s="90"/>
      <c r="L366" s="90"/>
      <c r="M366" s="90"/>
    </row>
    <row r="367" spans="1:13" s="92" customFormat="1" ht="13.5" customHeight="1" x14ac:dyDescent="0.2">
      <c r="A367" s="66" t="s">
        <v>151</v>
      </c>
      <c r="B367" s="67" t="s">
        <v>242</v>
      </c>
      <c r="C367" s="67" t="s">
        <v>242</v>
      </c>
      <c r="D367" s="68" t="s">
        <v>455</v>
      </c>
      <c r="E367" s="68">
        <v>240</v>
      </c>
      <c r="F367" s="131">
        <f>F368</f>
        <v>60</v>
      </c>
      <c r="G367" s="286"/>
      <c r="H367" s="158"/>
      <c r="I367" s="158"/>
      <c r="J367" s="158"/>
      <c r="K367" s="158"/>
      <c r="L367" s="158"/>
      <c r="M367" s="158"/>
    </row>
    <row r="368" spans="1:13" s="92" customFormat="1" ht="13.5" customHeight="1" x14ac:dyDescent="0.2">
      <c r="A368" s="70" t="s">
        <v>153</v>
      </c>
      <c r="B368" s="67" t="s">
        <v>242</v>
      </c>
      <c r="C368" s="67" t="s">
        <v>242</v>
      </c>
      <c r="D368" s="68" t="s">
        <v>455</v>
      </c>
      <c r="E368" s="68">
        <v>244</v>
      </c>
      <c r="F368" s="131">
        <f>'ПР 7 ведом'!G566</f>
        <v>60</v>
      </c>
      <c r="G368" s="286"/>
      <c r="H368" s="158"/>
      <c r="I368" s="158"/>
      <c r="J368" s="158"/>
      <c r="K368" s="158"/>
      <c r="L368" s="158"/>
      <c r="M368" s="158"/>
    </row>
    <row r="369" spans="1:13" s="52" customFormat="1" ht="33.75" customHeight="1" x14ac:dyDescent="0.2">
      <c r="A369" s="61" t="s">
        <v>261</v>
      </c>
      <c r="B369" s="96" t="s">
        <v>242</v>
      </c>
      <c r="C369" s="94" t="s">
        <v>262</v>
      </c>
      <c r="D369" s="96" t="s">
        <v>183</v>
      </c>
      <c r="E369" s="96" t="s">
        <v>184</v>
      </c>
      <c r="F369" s="138">
        <f>F370+F399</f>
        <v>10356.300000000001</v>
      </c>
      <c r="G369" s="65"/>
      <c r="H369" s="90"/>
      <c r="I369" s="90"/>
      <c r="J369" s="90"/>
      <c r="K369" s="90"/>
      <c r="L369" s="90"/>
      <c r="M369" s="90"/>
    </row>
    <row r="370" spans="1:13" s="92" customFormat="1" ht="15.75" customHeight="1" x14ac:dyDescent="0.2">
      <c r="A370" s="83" t="s">
        <v>263</v>
      </c>
      <c r="B370" s="68" t="s">
        <v>242</v>
      </c>
      <c r="C370" s="67" t="s">
        <v>262</v>
      </c>
      <c r="D370" s="68" t="s">
        <v>264</v>
      </c>
      <c r="E370" s="96"/>
      <c r="F370" s="131">
        <f>F371+F393+F376</f>
        <v>9923.1</v>
      </c>
      <c r="G370" s="286"/>
      <c r="H370" s="158"/>
      <c r="I370" s="158"/>
      <c r="J370" s="158"/>
      <c r="K370" s="158"/>
      <c r="L370" s="158"/>
      <c r="M370" s="158"/>
    </row>
    <row r="371" spans="1:13" s="52" customFormat="1" ht="21.75" customHeight="1" x14ac:dyDescent="0.2">
      <c r="A371" s="66" t="s">
        <v>265</v>
      </c>
      <c r="B371" s="68" t="s">
        <v>242</v>
      </c>
      <c r="C371" s="67" t="s">
        <v>262</v>
      </c>
      <c r="D371" s="68" t="s">
        <v>266</v>
      </c>
      <c r="E371" s="68"/>
      <c r="F371" s="131">
        <f>F372</f>
        <v>960.5</v>
      </c>
      <c r="G371" s="65"/>
      <c r="H371" s="90"/>
      <c r="I371" s="90"/>
      <c r="J371" s="90"/>
      <c r="K371" s="90"/>
      <c r="L371" s="90"/>
      <c r="M371" s="90"/>
    </row>
    <row r="372" spans="1:13" s="52" customFormat="1" ht="21.75" customHeight="1" x14ac:dyDescent="0.2">
      <c r="A372" s="66" t="s">
        <v>139</v>
      </c>
      <c r="B372" s="68" t="s">
        <v>242</v>
      </c>
      <c r="C372" s="67" t="s">
        <v>262</v>
      </c>
      <c r="D372" s="68" t="s">
        <v>266</v>
      </c>
      <c r="E372" s="68">
        <v>100</v>
      </c>
      <c r="F372" s="131">
        <f>F373</f>
        <v>960.5</v>
      </c>
      <c r="G372" s="65"/>
      <c r="H372" s="90"/>
      <c r="I372" s="90"/>
      <c r="J372" s="90"/>
      <c r="K372" s="90"/>
      <c r="L372" s="90"/>
      <c r="M372" s="90"/>
    </row>
    <row r="373" spans="1:13" s="52" customFormat="1" ht="16.5" customHeight="1" x14ac:dyDescent="0.2">
      <c r="A373" s="66" t="s">
        <v>168</v>
      </c>
      <c r="B373" s="68" t="s">
        <v>242</v>
      </c>
      <c r="C373" s="67" t="s">
        <v>262</v>
      </c>
      <c r="D373" s="68" t="s">
        <v>266</v>
      </c>
      <c r="E373" s="68">
        <v>120</v>
      </c>
      <c r="F373" s="131">
        <f>F374+F375</f>
        <v>960.5</v>
      </c>
      <c r="G373" s="65"/>
      <c r="H373" s="90"/>
      <c r="I373" s="90"/>
      <c r="J373" s="90"/>
      <c r="K373" s="90"/>
      <c r="L373" s="90"/>
      <c r="M373" s="90"/>
    </row>
    <row r="374" spans="1:13" s="52" customFormat="1" ht="35.25" customHeight="1" x14ac:dyDescent="0.2">
      <c r="A374" s="69" t="s">
        <v>169</v>
      </c>
      <c r="B374" s="68" t="s">
        <v>242</v>
      </c>
      <c r="C374" s="67" t="s">
        <v>262</v>
      </c>
      <c r="D374" s="68" t="s">
        <v>266</v>
      </c>
      <c r="E374" s="68">
        <v>121</v>
      </c>
      <c r="F374" s="131">
        <f>'ПР 7 ведом'!G268</f>
        <v>737.7</v>
      </c>
      <c r="G374" s="65"/>
      <c r="H374" s="90"/>
      <c r="I374" s="90"/>
      <c r="J374" s="90"/>
      <c r="K374" s="90"/>
      <c r="L374" s="90"/>
      <c r="M374" s="90"/>
    </row>
    <row r="375" spans="1:13" s="52" customFormat="1" ht="35.25" customHeight="1" x14ac:dyDescent="0.2">
      <c r="A375" s="69" t="s">
        <v>170</v>
      </c>
      <c r="B375" s="68" t="s">
        <v>242</v>
      </c>
      <c r="C375" s="67" t="s">
        <v>262</v>
      </c>
      <c r="D375" s="68" t="s">
        <v>266</v>
      </c>
      <c r="E375" s="68">
        <v>129</v>
      </c>
      <c r="F375" s="131">
        <f>'ПР 7 ведом'!G269</f>
        <v>222.8</v>
      </c>
      <c r="G375" s="65"/>
      <c r="H375" s="90"/>
      <c r="I375" s="90"/>
      <c r="J375" s="90"/>
      <c r="K375" s="90"/>
      <c r="L375" s="90"/>
      <c r="M375" s="90"/>
    </row>
    <row r="376" spans="1:13" s="52" customFormat="1" ht="35.25" customHeight="1" x14ac:dyDescent="0.2">
      <c r="A376" s="66" t="s">
        <v>267</v>
      </c>
      <c r="B376" s="68" t="s">
        <v>242</v>
      </c>
      <c r="C376" s="67" t="s">
        <v>262</v>
      </c>
      <c r="D376" s="68" t="s">
        <v>268</v>
      </c>
      <c r="E376" s="68" t="s">
        <v>184</v>
      </c>
      <c r="F376" s="131">
        <f>F377+F381+F384+F388</f>
        <v>8312.6</v>
      </c>
      <c r="G376" s="65"/>
      <c r="H376" s="90"/>
      <c r="I376" s="90"/>
      <c r="J376" s="90"/>
      <c r="K376" s="90"/>
      <c r="L376" s="90"/>
      <c r="M376" s="90"/>
    </row>
    <row r="377" spans="1:13" s="52" customFormat="1" ht="45" x14ac:dyDescent="0.2">
      <c r="A377" s="66" t="s">
        <v>139</v>
      </c>
      <c r="B377" s="68" t="s">
        <v>242</v>
      </c>
      <c r="C377" s="67" t="s">
        <v>262</v>
      </c>
      <c r="D377" s="68" t="s">
        <v>269</v>
      </c>
      <c r="E377" s="68" t="s">
        <v>140</v>
      </c>
      <c r="F377" s="131">
        <f>F378</f>
        <v>7563</v>
      </c>
      <c r="G377" s="65"/>
      <c r="H377" s="90"/>
      <c r="I377" s="90"/>
      <c r="J377" s="90"/>
      <c r="K377" s="90"/>
      <c r="L377" s="90"/>
      <c r="M377" s="90"/>
    </row>
    <row r="378" spans="1:13" s="52" customFormat="1" x14ac:dyDescent="0.2">
      <c r="A378" s="66" t="s">
        <v>141</v>
      </c>
      <c r="B378" s="68" t="s">
        <v>242</v>
      </c>
      <c r="C378" s="67" t="s">
        <v>262</v>
      </c>
      <c r="D378" s="68" t="s">
        <v>269</v>
      </c>
      <c r="E378" s="68">
        <v>110</v>
      </c>
      <c r="F378" s="131">
        <f>F379+F380</f>
        <v>7563</v>
      </c>
      <c r="G378" s="65"/>
      <c r="H378" s="90"/>
      <c r="I378" s="90"/>
      <c r="J378" s="90"/>
      <c r="K378" s="90"/>
      <c r="L378" s="90"/>
      <c r="M378" s="90"/>
    </row>
    <row r="379" spans="1:13" s="52" customFormat="1" x14ac:dyDescent="0.2">
      <c r="A379" s="66" t="s">
        <v>142</v>
      </c>
      <c r="B379" s="68" t="s">
        <v>242</v>
      </c>
      <c r="C379" s="67" t="s">
        <v>262</v>
      </c>
      <c r="D379" s="68" t="s">
        <v>269</v>
      </c>
      <c r="E379" s="68">
        <v>111</v>
      </c>
      <c r="F379" s="131">
        <f>'ПР 7 ведом'!G273</f>
        <v>5808.8</v>
      </c>
      <c r="G379" s="65"/>
      <c r="H379" s="90"/>
      <c r="I379" s="90"/>
      <c r="J379" s="90"/>
      <c r="K379" s="90"/>
      <c r="L379" s="90"/>
      <c r="M379" s="90"/>
    </row>
    <row r="380" spans="1:13" s="52" customFormat="1" ht="34.5" customHeight="1" x14ac:dyDescent="0.2">
      <c r="A380" s="69" t="s">
        <v>143</v>
      </c>
      <c r="B380" s="68" t="s">
        <v>242</v>
      </c>
      <c r="C380" s="67" t="s">
        <v>262</v>
      </c>
      <c r="D380" s="68" t="s">
        <v>269</v>
      </c>
      <c r="E380" s="68">
        <v>119</v>
      </c>
      <c r="F380" s="131">
        <f>'ПР 7 ведом'!G274</f>
        <v>1754.2</v>
      </c>
      <c r="G380" s="65"/>
      <c r="H380" s="90"/>
      <c r="I380" s="90"/>
      <c r="J380" s="90"/>
      <c r="K380" s="90"/>
      <c r="L380" s="90"/>
      <c r="M380" s="90"/>
    </row>
    <row r="381" spans="1:13" s="52" customFormat="1" ht="34.5" customHeight="1" x14ac:dyDescent="0.2">
      <c r="A381" s="83" t="s">
        <v>139</v>
      </c>
      <c r="B381" s="68" t="s">
        <v>242</v>
      </c>
      <c r="C381" s="67" t="s">
        <v>262</v>
      </c>
      <c r="D381" s="68" t="s">
        <v>270</v>
      </c>
      <c r="E381" s="68">
        <v>100</v>
      </c>
      <c r="F381" s="131">
        <f>F382</f>
        <v>20</v>
      </c>
      <c r="G381" s="65"/>
      <c r="H381" s="90"/>
      <c r="I381" s="90"/>
      <c r="J381" s="90"/>
      <c r="K381" s="90"/>
      <c r="L381" s="90"/>
      <c r="M381" s="90"/>
    </row>
    <row r="382" spans="1:13" s="52" customFormat="1" ht="34.5" customHeight="1" x14ac:dyDescent="0.2">
      <c r="A382" s="83" t="s">
        <v>168</v>
      </c>
      <c r="B382" s="68" t="s">
        <v>242</v>
      </c>
      <c r="C382" s="67" t="s">
        <v>262</v>
      </c>
      <c r="D382" s="68" t="s">
        <v>270</v>
      </c>
      <c r="E382" s="68">
        <v>120</v>
      </c>
      <c r="F382" s="131">
        <f>F383</f>
        <v>20</v>
      </c>
      <c r="G382" s="65"/>
      <c r="H382" s="90"/>
      <c r="I382" s="90"/>
      <c r="J382" s="90"/>
      <c r="K382" s="90"/>
      <c r="L382" s="90"/>
      <c r="M382" s="90"/>
    </row>
    <row r="383" spans="1:13" s="52" customFormat="1" ht="34.5" customHeight="1" x14ac:dyDescent="0.2">
      <c r="A383" s="69" t="s">
        <v>293</v>
      </c>
      <c r="B383" s="68" t="s">
        <v>242</v>
      </c>
      <c r="C383" s="67" t="s">
        <v>262</v>
      </c>
      <c r="D383" s="68" t="s">
        <v>270</v>
      </c>
      <c r="E383" s="68">
        <v>122</v>
      </c>
      <c r="F383" s="131">
        <f>'ПР 7 ведом'!G277</f>
        <v>20</v>
      </c>
      <c r="G383" s="65"/>
      <c r="H383" s="90"/>
      <c r="I383" s="90"/>
      <c r="J383" s="90"/>
      <c r="K383" s="90"/>
      <c r="L383" s="90"/>
      <c r="M383" s="90"/>
    </row>
    <row r="384" spans="1:13" s="52" customFormat="1" ht="25.5" customHeight="1" x14ac:dyDescent="0.2">
      <c r="A384" s="66" t="s">
        <v>149</v>
      </c>
      <c r="B384" s="68" t="s">
        <v>242</v>
      </c>
      <c r="C384" s="67" t="s">
        <v>262</v>
      </c>
      <c r="D384" s="68" t="s">
        <v>270</v>
      </c>
      <c r="E384" s="68" t="s">
        <v>150</v>
      </c>
      <c r="F384" s="131">
        <f>F385</f>
        <v>697.6</v>
      </c>
      <c r="G384" s="65"/>
      <c r="H384" s="90"/>
      <c r="I384" s="90"/>
      <c r="J384" s="90"/>
      <c r="K384" s="90"/>
      <c r="L384" s="90"/>
      <c r="M384" s="90"/>
    </row>
    <row r="385" spans="1:13" s="52" customFormat="1" ht="22.5" x14ac:dyDescent="0.2">
      <c r="A385" s="66" t="s">
        <v>151</v>
      </c>
      <c r="B385" s="68" t="s">
        <v>242</v>
      </c>
      <c r="C385" s="67" t="s">
        <v>262</v>
      </c>
      <c r="D385" s="68" t="s">
        <v>270</v>
      </c>
      <c r="E385" s="68" t="s">
        <v>152</v>
      </c>
      <c r="F385" s="131">
        <f>F387+F386</f>
        <v>697.6</v>
      </c>
      <c r="G385" s="65"/>
      <c r="H385" s="90"/>
      <c r="I385" s="90"/>
      <c r="J385" s="90"/>
      <c r="K385" s="90"/>
      <c r="L385" s="90"/>
      <c r="M385" s="90"/>
    </row>
    <row r="386" spans="1:13" s="52" customFormat="1" ht="24.75" customHeight="1" x14ac:dyDescent="0.2">
      <c r="A386" s="70" t="s">
        <v>171</v>
      </c>
      <c r="B386" s="68" t="s">
        <v>242</v>
      </c>
      <c r="C386" s="67" t="s">
        <v>262</v>
      </c>
      <c r="D386" s="68" t="s">
        <v>270</v>
      </c>
      <c r="E386" s="68">
        <v>242</v>
      </c>
      <c r="F386" s="131">
        <f>'ПР 7 ведом'!G280</f>
        <v>200</v>
      </c>
      <c r="G386" s="65"/>
      <c r="H386" s="90"/>
      <c r="I386" s="90"/>
      <c r="J386" s="90"/>
      <c r="K386" s="90"/>
      <c r="L386" s="90"/>
      <c r="M386" s="90"/>
    </row>
    <row r="387" spans="1:13" s="52" customFormat="1" ht="14.25" customHeight="1" x14ac:dyDescent="0.2">
      <c r="A387" s="70" t="s">
        <v>153</v>
      </c>
      <c r="B387" s="68" t="s">
        <v>242</v>
      </c>
      <c r="C387" s="67" t="s">
        <v>262</v>
      </c>
      <c r="D387" s="68" t="s">
        <v>270</v>
      </c>
      <c r="E387" s="68" t="s">
        <v>154</v>
      </c>
      <c r="F387" s="131">
        <f>'ПР 7 ведом'!G281</f>
        <v>497.6</v>
      </c>
      <c r="G387" s="65"/>
      <c r="H387" s="90"/>
      <c r="I387" s="90"/>
      <c r="J387" s="90"/>
      <c r="K387" s="90"/>
      <c r="L387" s="90"/>
      <c r="M387" s="90"/>
    </row>
    <row r="388" spans="1:13" s="52" customFormat="1" ht="33.75" customHeight="1" x14ac:dyDescent="0.2">
      <c r="A388" s="70" t="s">
        <v>172</v>
      </c>
      <c r="B388" s="68" t="s">
        <v>242</v>
      </c>
      <c r="C388" s="67" t="s">
        <v>262</v>
      </c>
      <c r="D388" s="68" t="s">
        <v>270</v>
      </c>
      <c r="E388" s="68" t="s">
        <v>235</v>
      </c>
      <c r="F388" s="131">
        <f>F389</f>
        <v>32</v>
      </c>
      <c r="G388" s="65"/>
      <c r="H388" s="90"/>
      <c r="I388" s="90"/>
      <c r="J388" s="90"/>
      <c r="K388" s="90"/>
      <c r="L388" s="90"/>
      <c r="M388" s="90"/>
    </row>
    <row r="389" spans="1:13" s="283" customFormat="1" ht="12.75" customHeight="1" x14ac:dyDescent="0.2">
      <c r="A389" s="70" t="s">
        <v>173</v>
      </c>
      <c r="B389" s="68" t="s">
        <v>242</v>
      </c>
      <c r="C389" s="67" t="s">
        <v>262</v>
      </c>
      <c r="D389" s="68" t="s">
        <v>270</v>
      </c>
      <c r="E389" s="68" t="s">
        <v>174</v>
      </c>
      <c r="F389" s="131">
        <f>F390+F391+F392</f>
        <v>32</v>
      </c>
      <c r="G389" s="65"/>
      <c r="H389" s="282"/>
      <c r="I389" s="282"/>
      <c r="J389" s="282"/>
      <c r="K389" s="282"/>
      <c r="L389" s="282"/>
      <c r="M389" s="282"/>
    </row>
    <row r="390" spans="1:13" s="52" customFormat="1" ht="33" customHeight="1" x14ac:dyDescent="0.2">
      <c r="A390" s="75" t="s">
        <v>175</v>
      </c>
      <c r="B390" s="68" t="s">
        <v>242</v>
      </c>
      <c r="C390" s="67" t="s">
        <v>262</v>
      </c>
      <c r="D390" s="68" t="s">
        <v>270</v>
      </c>
      <c r="E390" s="68" t="s">
        <v>176</v>
      </c>
      <c r="F390" s="131">
        <f>'ПР 7 ведом'!G284</f>
        <v>5.2</v>
      </c>
      <c r="G390" s="65"/>
      <c r="H390" s="90"/>
      <c r="I390" s="90"/>
      <c r="J390" s="90"/>
      <c r="K390" s="90"/>
      <c r="L390" s="90"/>
      <c r="M390" s="90"/>
    </row>
    <row r="391" spans="1:13" s="52" customFormat="1" ht="19.5" customHeight="1" x14ac:dyDescent="0.2">
      <c r="A391" s="70" t="s">
        <v>236</v>
      </c>
      <c r="B391" s="68" t="s">
        <v>242</v>
      </c>
      <c r="C391" s="67" t="s">
        <v>262</v>
      </c>
      <c r="D391" s="68" t="s">
        <v>270</v>
      </c>
      <c r="E391" s="68">
        <v>852</v>
      </c>
      <c r="F391" s="131">
        <f>'ПР 7 ведом'!G285</f>
        <v>3</v>
      </c>
      <c r="G391" s="65"/>
      <c r="H391" s="90"/>
      <c r="I391" s="90"/>
      <c r="J391" s="90"/>
      <c r="K391" s="90"/>
      <c r="L391" s="90"/>
      <c r="M391" s="90"/>
    </row>
    <row r="392" spans="1:13" s="52" customFormat="1" ht="19.5" customHeight="1" x14ac:dyDescent="0.2">
      <c r="A392" s="70" t="s">
        <v>564</v>
      </c>
      <c r="B392" s="68" t="s">
        <v>242</v>
      </c>
      <c r="C392" s="67" t="s">
        <v>262</v>
      </c>
      <c r="D392" s="68" t="s">
        <v>270</v>
      </c>
      <c r="E392" s="68">
        <v>853</v>
      </c>
      <c r="F392" s="131">
        <f>'ПР 7 ведом'!G286</f>
        <v>23.8</v>
      </c>
      <c r="G392" s="65"/>
      <c r="H392" s="90"/>
      <c r="I392" s="90"/>
      <c r="J392" s="90"/>
      <c r="K392" s="90"/>
      <c r="L392" s="90"/>
      <c r="M392" s="90"/>
    </row>
    <row r="393" spans="1:13" s="52" customFormat="1" ht="14.25" customHeight="1" x14ac:dyDescent="0.2">
      <c r="A393" s="66" t="s">
        <v>271</v>
      </c>
      <c r="B393" s="68" t="s">
        <v>242</v>
      </c>
      <c r="C393" s="67" t="s">
        <v>262</v>
      </c>
      <c r="D393" s="68" t="s">
        <v>272</v>
      </c>
      <c r="E393" s="68"/>
      <c r="F393" s="131">
        <f>F394+F397</f>
        <v>650</v>
      </c>
      <c r="G393" s="65"/>
      <c r="H393" s="90"/>
      <c r="I393" s="90"/>
      <c r="J393" s="90"/>
      <c r="K393" s="90"/>
      <c r="L393" s="90"/>
      <c r="M393" s="90"/>
    </row>
    <row r="394" spans="1:13" s="52" customFormat="1" ht="14.25" customHeight="1" x14ac:dyDescent="0.2">
      <c r="A394" s="83" t="s">
        <v>650</v>
      </c>
      <c r="B394" s="68" t="s">
        <v>242</v>
      </c>
      <c r="C394" s="67" t="s">
        <v>262</v>
      </c>
      <c r="D394" s="68" t="s">
        <v>272</v>
      </c>
      <c r="E394" s="68">
        <v>200</v>
      </c>
      <c r="F394" s="131">
        <f>F395</f>
        <v>323</v>
      </c>
      <c r="G394" s="65"/>
      <c r="H394" s="90"/>
      <c r="I394" s="90"/>
      <c r="J394" s="90"/>
      <c r="K394" s="90"/>
      <c r="L394" s="90"/>
      <c r="M394" s="90"/>
    </row>
    <row r="395" spans="1:13" s="52" customFormat="1" ht="14.25" customHeight="1" x14ac:dyDescent="0.2">
      <c r="A395" s="83" t="s">
        <v>151</v>
      </c>
      <c r="B395" s="68" t="s">
        <v>242</v>
      </c>
      <c r="C395" s="67" t="s">
        <v>262</v>
      </c>
      <c r="D395" s="68" t="s">
        <v>272</v>
      </c>
      <c r="E395" s="68">
        <v>240</v>
      </c>
      <c r="F395" s="131">
        <f>F396</f>
        <v>323</v>
      </c>
      <c r="G395" s="65"/>
      <c r="H395" s="90"/>
      <c r="I395" s="90"/>
      <c r="J395" s="90"/>
      <c r="K395" s="90"/>
      <c r="L395" s="90"/>
      <c r="M395" s="90"/>
    </row>
    <row r="396" spans="1:13" s="52" customFormat="1" ht="14.25" customHeight="1" x14ac:dyDescent="0.2">
      <c r="A396" s="115" t="s">
        <v>153</v>
      </c>
      <c r="B396" s="68" t="s">
        <v>242</v>
      </c>
      <c r="C396" s="67" t="s">
        <v>262</v>
      </c>
      <c r="D396" s="68" t="s">
        <v>272</v>
      </c>
      <c r="E396" s="68">
        <v>244</v>
      </c>
      <c r="F396" s="131">
        <f>'ПР 7 ведом'!G290</f>
        <v>323</v>
      </c>
      <c r="G396" s="65"/>
      <c r="H396" s="90"/>
      <c r="I396" s="90"/>
      <c r="J396" s="90"/>
      <c r="K396" s="90"/>
      <c r="L396" s="90"/>
      <c r="M396" s="90"/>
    </row>
    <row r="397" spans="1:13" s="52" customFormat="1" ht="20.25" customHeight="1" x14ac:dyDescent="0.2">
      <c r="A397" s="66" t="s">
        <v>273</v>
      </c>
      <c r="B397" s="68" t="s">
        <v>242</v>
      </c>
      <c r="C397" s="67" t="s">
        <v>262</v>
      </c>
      <c r="D397" s="68" t="s">
        <v>272</v>
      </c>
      <c r="E397" s="68">
        <v>300</v>
      </c>
      <c r="F397" s="131">
        <f>F398</f>
        <v>327</v>
      </c>
      <c r="G397" s="65"/>
      <c r="H397" s="90"/>
      <c r="I397" s="90"/>
      <c r="J397" s="90"/>
      <c r="K397" s="90"/>
      <c r="L397" s="90"/>
      <c r="M397" s="90"/>
    </row>
    <row r="398" spans="1:13" s="52" customFormat="1" ht="20.25" customHeight="1" x14ac:dyDescent="0.2">
      <c r="A398" s="66" t="s">
        <v>274</v>
      </c>
      <c r="B398" s="68" t="s">
        <v>242</v>
      </c>
      <c r="C398" s="67" t="s">
        <v>262</v>
      </c>
      <c r="D398" s="68" t="s">
        <v>272</v>
      </c>
      <c r="E398" s="68">
        <v>350</v>
      </c>
      <c r="F398" s="131">
        <f>'ПР 7 ведом'!G292</f>
        <v>327</v>
      </c>
      <c r="G398" s="65"/>
      <c r="H398" s="90"/>
      <c r="I398" s="90"/>
      <c r="J398" s="90"/>
      <c r="K398" s="90"/>
      <c r="L398" s="90"/>
      <c r="M398" s="90"/>
    </row>
    <row r="399" spans="1:13" s="283" customFormat="1" ht="20.25" customHeight="1" x14ac:dyDescent="0.2">
      <c r="A399" s="85" t="s">
        <v>81</v>
      </c>
      <c r="B399" s="68" t="s">
        <v>242</v>
      </c>
      <c r="C399" s="67" t="s">
        <v>262</v>
      </c>
      <c r="D399" s="68" t="s">
        <v>446</v>
      </c>
      <c r="E399" s="84" t="s">
        <v>184</v>
      </c>
      <c r="F399" s="135">
        <f>F400+F405</f>
        <v>433.19999999999993</v>
      </c>
      <c r="G399" s="65"/>
      <c r="H399" s="282"/>
      <c r="I399" s="282"/>
      <c r="J399" s="282"/>
      <c r="K399" s="282"/>
      <c r="L399" s="282"/>
      <c r="M399" s="282"/>
    </row>
    <row r="400" spans="1:13" s="283" customFormat="1" ht="20.25" customHeight="1" x14ac:dyDescent="0.2">
      <c r="A400" s="66" t="s">
        <v>139</v>
      </c>
      <c r="B400" s="68" t="s">
        <v>242</v>
      </c>
      <c r="C400" s="67" t="s">
        <v>262</v>
      </c>
      <c r="D400" s="68" t="s">
        <v>446</v>
      </c>
      <c r="E400" s="72">
        <v>100</v>
      </c>
      <c r="F400" s="139">
        <f>F401</f>
        <v>367.59999999999997</v>
      </c>
      <c r="G400" s="65"/>
      <c r="H400" s="282"/>
      <c r="I400" s="282"/>
      <c r="J400" s="282"/>
      <c r="K400" s="282"/>
      <c r="L400" s="282"/>
      <c r="M400" s="282"/>
    </row>
    <row r="401" spans="1:13" s="283" customFormat="1" ht="20.25" customHeight="1" x14ac:dyDescent="0.2">
      <c r="A401" s="66" t="s">
        <v>168</v>
      </c>
      <c r="B401" s="68" t="s">
        <v>242</v>
      </c>
      <c r="C401" s="67" t="s">
        <v>262</v>
      </c>
      <c r="D401" s="68" t="s">
        <v>446</v>
      </c>
      <c r="E401" s="72">
        <v>120</v>
      </c>
      <c r="F401" s="139">
        <f>F402+F403+F404</f>
        <v>367.59999999999997</v>
      </c>
      <c r="G401" s="65"/>
      <c r="H401" s="282"/>
      <c r="I401" s="282"/>
      <c r="J401" s="282"/>
      <c r="K401" s="282"/>
      <c r="L401" s="282"/>
      <c r="M401" s="282"/>
    </row>
    <row r="402" spans="1:13" s="52" customFormat="1" ht="13.5" customHeight="1" x14ac:dyDescent="0.2">
      <c r="A402" s="69" t="s">
        <v>169</v>
      </c>
      <c r="B402" s="68" t="s">
        <v>242</v>
      </c>
      <c r="C402" s="67" t="s">
        <v>262</v>
      </c>
      <c r="D402" s="68" t="s">
        <v>446</v>
      </c>
      <c r="E402" s="72">
        <v>121</v>
      </c>
      <c r="F402" s="139">
        <f>'ПР 7 ведом'!G571</f>
        <v>270.39999999999998</v>
      </c>
      <c r="G402" s="65"/>
      <c r="H402" s="90"/>
      <c r="I402" s="90"/>
      <c r="J402" s="90"/>
      <c r="K402" s="90"/>
      <c r="L402" s="90"/>
      <c r="M402" s="90"/>
    </row>
    <row r="403" spans="1:13" s="52" customFormat="1" ht="13.5" customHeight="1" x14ac:dyDescent="0.2">
      <c r="A403" s="69" t="s">
        <v>293</v>
      </c>
      <c r="B403" s="68" t="s">
        <v>242</v>
      </c>
      <c r="C403" s="67" t="s">
        <v>262</v>
      </c>
      <c r="D403" s="68" t="s">
        <v>446</v>
      </c>
      <c r="E403" s="68">
        <v>122</v>
      </c>
      <c r="F403" s="139">
        <f>'ПР 7 ведом'!G572</f>
        <v>15.5</v>
      </c>
      <c r="G403" s="65"/>
      <c r="H403" s="90"/>
      <c r="I403" s="90"/>
      <c r="J403" s="90"/>
      <c r="K403" s="90"/>
      <c r="L403" s="90"/>
      <c r="M403" s="90"/>
    </row>
    <row r="404" spans="1:13" s="52" customFormat="1" ht="13.5" customHeight="1" x14ac:dyDescent="0.2">
      <c r="A404" s="69" t="s">
        <v>170</v>
      </c>
      <c r="B404" s="68" t="s">
        <v>242</v>
      </c>
      <c r="C404" s="67" t="s">
        <v>262</v>
      </c>
      <c r="D404" s="68" t="s">
        <v>446</v>
      </c>
      <c r="E404" s="68">
        <v>129</v>
      </c>
      <c r="F404" s="139">
        <f>'ПР 7 ведом'!G573</f>
        <v>81.7</v>
      </c>
      <c r="G404" s="65"/>
      <c r="H404" s="90"/>
      <c r="I404" s="90"/>
      <c r="J404" s="90"/>
      <c r="K404" s="90"/>
      <c r="L404" s="90"/>
      <c r="M404" s="90"/>
    </row>
    <row r="405" spans="1:13" s="52" customFormat="1" ht="13.5" customHeight="1" x14ac:dyDescent="0.2">
      <c r="A405" s="66" t="s">
        <v>149</v>
      </c>
      <c r="B405" s="68" t="s">
        <v>242</v>
      </c>
      <c r="C405" s="67" t="s">
        <v>262</v>
      </c>
      <c r="D405" s="68" t="s">
        <v>446</v>
      </c>
      <c r="E405" s="68" t="s">
        <v>150</v>
      </c>
      <c r="F405" s="131">
        <f>F406</f>
        <v>65.599999999999994</v>
      </c>
      <c r="G405" s="65"/>
      <c r="H405" s="90"/>
      <c r="I405" s="90"/>
      <c r="J405" s="90"/>
      <c r="K405" s="90"/>
      <c r="L405" s="90"/>
      <c r="M405" s="90"/>
    </row>
    <row r="406" spans="1:13" s="52" customFormat="1" ht="24.75" customHeight="1" x14ac:dyDescent="0.2">
      <c r="A406" s="66" t="s">
        <v>151</v>
      </c>
      <c r="B406" s="68" t="s">
        <v>242</v>
      </c>
      <c r="C406" s="67" t="s">
        <v>262</v>
      </c>
      <c r="D406" s="68" t="s">
        <v>446</v>
      </c>
      <c r="E406" s="68" t="s">
        <v>152</v>
      </c>
      <c r="F406" s="131">
        <f>F408+F407</f>
        <v>65.599999999999994</v>
      </c>
      <c r="G406" s="65"/>
      <c r="H406" s="90"/>
      <c r="I406" s="90"/>
      <c r="J406" s="90"/>
      <c r="K406" s="90"/>
      <c r="L406" s="90"/>
      <c r="M406" s="90"/>
    </row>
    <row r="407" spans="1:13" s="283" customFormat="1" ht="18.75" customHeight="1" x14ac:dyDescent="0.2">
      <c r="A407" s="70" t="s">
        <v>171</v>
      </c>
      <c r="B407" s="68" t="s">
        <v>242</v>
      </c>
      <c r="C407" s="67" t="s">
        <v>262</v>
      </c>
      <c r="D407" s="68" t="s">
        <v>446</v>
      </c>
      <c r="E407" s="68">
        <v>242</v>
      </c>
      <c r="F407" s="131">
        <f>'ПР 7 ведом'!G576</f>
        <v>5</v>
      </c>
      <c r="G407" s="65"/>
      <c r="H407" s="282"/>
      <c r="I407" s="282"/>
      <c r="J407" s="282"/>
      <c r="K407" s="282"/>
      <c r="L407" s="282"/>
      <c r="M407" s="282"/>
    </row>
    <row r="408" spans="1:13" s="283" customFormat="1" ht="17.25" customHeight="1" x14ac:dyDescent="0.2">
      <c r="A408" s="70" t="s">
        <v>153</v>
      </c>
      <c r="B408" s="68" t="s">
        <v>242</v>
      </c>
      <c r="C408" s="67" t="s">
        <v>262</v>
      </c>
      <c r="D408" s="68" t="s">
        <v>446</v>
      </c>
      <c r="E408" s="68" t="s">
        <v>154</v>
      </c>
      <c r="F408" s="131">
        <f>'ПР 7 ведом'!G577</f>
        <v>60.6</v>
      </c>
      <c r="G408" s="65"/>
      <c r="H408" s="282"/>
      <c r="I408" s="282"/>
      <c r="J408" s="282"/>
      <c r="K408" s="282"/>
      <c r="L408" s="282"/>
      <c r="M408" s="282"/>
    </row>
    <row r="409" spans="1:13" s="283" customFormat="1" ht="17.25" customHeight="1" x14ac:dyDescent="0.2">
      <c r="A409" s="341" t="s">
        <v>648</v>
      </c>
      <c r="B409" s="337" t="s">
        <v>120</v>
      </c>
      <c r="C409" s="337"/>
      <c r="D409" s="328"/>
      <c r="E409" s="328"/>
      <c r="F409" s="338">
        <f>F410+F441</f>
        <v>39218.199999999997</v>
      </c>
      <c r="G409" s="65"/>
      <c r="H409" s="282"/>
      <c r="I409" s="282"/>
      <c r="J409" s="282"/>
      <c r="K409" s="282"/>
      <c r="L409" s="282"/>
      <c r="M409" s="282"/>
    </row>
    <row r="410" spans="1:13" s="283" customFormat="1" ht="17.25" customHeight="1" x14ac:dyDescent="0.2">
      <c r="A410" s="61" t="s">
        <v>121</v>
      </c>
      <c r="B410" s="94" t="s">
        <v>120</v>
      </c>
      <c r="C410" s="94" t="s">
        <v>122</v>
      </c>
      <c r="D410" s="96"/>
      <c r="E410" s="96"/>
      <c r="F410" s="138">
        <f>F411+F434</f>
        <v>28966.9</v>
      </c>
      <c r="G410" s="65"/>
      <c r="H410" s="282"/>
      <c r="I410" s="282"/>
      <c r="J410" s="282"/>
      <c r="K410" s="282"/>
      <c r="L410" s="282"/>
      <c r="M410" s="282"/>
    </row>
    <row r="411" spans="1:13" s="283" customFormat="1" ht="17.25" customHeight="1" x14ac:dyDescent="0.2">
      <c r="A411" s="61" t="s">
        <v>123</v>
      </c>
      <c r="B411" s="94" t="s">
        <v>120</v>
      </c>
      <c r="C411" s="94" t="s">
        <v>122</v>
      </c>
      <c r="D411" s="96" t="s">
        <v>124</v>
      </c>
      <c r="E411" s="96"/>
      <c r="F411" s="131">
        <f>F412+F417+F426</f>
        <v>28856.9</v>
      </c>
      <c r="G411" s="65"/>
      <c r="H411" s="282"/>
      <c r="I411" s="282"/>
      <c r="J411" s="282"/>
      <c r="K411" s="282"/>
      <c r="L411" s="282"/>
      <c r="M411" s="282"/>
    </row>
    <row r="412" spans="1:13" s="283" customFormat="1" ht="17.25" customHeight="1" x14ac:dyDescent="0.2">
      <c r="A412" s="66" t="s">
        <v>125</v>
      </c>
      <c r="B412" s="67" t="s">
        <v>120</v>
      </c>
      <c r="C412" s="67" t="s">
        <v>122</v>
      </c>
      <c r="D412" s="68" t="s">
        <v>126</v>
      </c>
      <c r="E412" s="96"/>
      <c r="F412" s="131">
        <f>F413</f>
        <v>10699.4</v>
      </c>
      <c r="G412" s="65"/>
      <c r="H412" s="282"/>
      <c r="I412" s="282"/>
      <c r="J412" s="282"/>
      <c r="K412" s="282"/>
      <c r="L412" s="282"/>
      <c r="M412" s="282"/>
    </row>
    <row r="413" spans="1:13" s="283" customFormat="1" ht="17.25" customHeight="1" x14ac:dyDescent="0.2">
      <c r="A413" s="66" t="s">
        <v>127</v>
      </c>
      <c r="B413" s="67" t="s">
        <v>120</v>
      </c>
      <c r="C413" s="67" t="s">
        <v>122</v>
      </c>
      <c r="D413" s="68" t="s">
        <v>128</v>
      </c>
      <c r="E413" s="68"/>
      <c r="F413" s="131">
        <f>F414</f>
        <v>10699.4</v>
      </c>
      <c r="G413" s="65"/>
      <c r="H413" s="282"/>
      <c r="I413" s="282"/>
      <c r="J413" s="282"/>
      <c r="K413" s="282"/>
      <c r="L413" s="282"/>
      <c r="M413" s="282"/>
    </row>
    <row r="414" spans="1:13" s="283" customFormat="1" ht="17.25" customHeight="1" x14ac:dyDescent="0.2">
      <c r="A414" s="66" t="s">
        <v>129</v>
      </c>
      <c r="B414" s="68" t="s">
        <v>120</v>
      </c>
      <c r="C414" s="67" t="s">
        <v>122</v>
      </c>
      <c r="D414" s="68" t="s">
        <v>128</v>
      </c>
      <c r="E414" s="68" t="s">
        <v>130</v>
      </c>
      <c r="F414" s="131">
        <f>F415</f>
        <v>10699.4</v>
      </c>
      <c r="G414" s="65"/>
      <c r="H414" s="282"/>
      <c r="I414" s="282"/>
      <c r="J414" s="282"/>
      <c r="K414" s="282"/>
      <c r="L414" s="282"/>
      <c r="M414" s="282"/>
    </row>
    <row r="415" spans="1:13" s="283" customFormat="1" ht="17.25" customHeight="1" x14ac:dyDescent="0.2">
      <c r="A415" s="66" t="s">
        <v>131</v>
      </c>
      <c r="B415" s="68" t="s">
        <v>120</v>
      </c>
      <c r="C415" s="67" t="s">
        <v>122</v>
      </c>
      <c r="D415" s="68" t="s">
        <v>128</v>
      </c>
      <c r="E415" s="68" t="s">
        <v>132</v>
      </c>
      <c r="F415" s="131">
        <f>F416</f>
        <v>10699.4</v>
      </c>
      <c r="G415" s="65"/>
      <c r="H415" s="282"/>
      <c r="I415" s="282"/>
      <c r="J415" s="282"/>
      <c r="K415" s="282"/>
      <c r="L415" s="282"/>
      <c r="M415" s="282"/>
    </row>
    <row r="416" spans="1:13" s="283" customFormat="1" ht="17.25" customHeight="1" x14ac:dyDescent="0.2">
      <c r="A416" s="66" t="s">
        <v>133</v>
      </c>
      <c r="B416" s="68" t="s">
        <v>120</v>
      </c>
      <c r="C416" s="67" t="s">
        <v>122</v>
      </c>
      <c r="D416" s="68" t="s">
        <v>128</v>
      </c>
      <c r="E416" s="68" t="s">
        <v>134</v>
      </c>
      <c r="F416" s="131">
        <f>'ПР 7 ведом'!G35</f>
        <v>10699.4</v>
      </c>
      <c r="G416" s="65"/>
      <c r="H416" s="282"/>
      <c r="I416" s="282"/>
      <c r="J416" s="282"/>
      <c r="K416" s="282"/>
      <c r="L416" s="282"/>
      <c r="M416" s="282"/>
    </row>
    <row r="417" spans="1:13" s="283" customFormat="1" ht="17.25" customHeight="1" x14ac:dyDescent="0.2">
      <c r="A417" s="66" t="s">
        <v>135</v>
      </c>
      <c r="B417" s="67" t="s">
        <v>120</v>
      </c>
      <c r="C417" s="67" t="s">
        <v>122</v>
      </c>
      <c r="D417" s="68" t="s">
        <v>136</v>
      </c>
      <c r="E417" s="68"/>
      <c r="F417" s="131">
        <f>F418</f>
        <v>17777.5</v>
      </c>
      <c r="G417" s="65"/>
      <c r="H417" s="282"/>
      <c r="I417" s="282"/>
      <c r="J417" s="282"/>
      <c r="K417" s="282"/>
      <c r="L417" s="282"/>
      <c r="M417" s="282"/>
    </row>
    <row r="418" spans="1:13" s="283" customFormat="1" ht="17.25" customHeight="1" x14ac:dyDescent="0.2">
      <c r="A418" s="66" t="s">
        <v>137</v>
      </c>
      <c r="B418" s="67" t="s">
        <v>120</v>
      </c>
      <c r="C418" s="67" t="s">
        <v>122</v>
      </c>
      <c r="D418" s="68" t="s">
        <v>138</v>
      </c>
      <c r="E418" s="68"/>
      <c r="F418" s="131">
        <f>F419+F423</f>
        <v>17777.5</v>
      </c>
      <c r="G418" s="65"/>
      <c r="H418" s="282"/>
      <c r="I418" s="282"/>
      <c r="J418" s="282"/>
      <c r="K418" s="282"/>
      <c r="L418" s="282"/>
      <c r="M418" s="282"/>
    </row>
    <row r="419" spans="1:13" s="283" customFormat="1" ht="16.5" customHeight="1" x14ac:dyDescent="0.2">
      <c r="A419" s="66" t="s">
        <v>139</v>
      </c>
      <c r="B419" s="67" t="s">
        <v>120</v>
      </c>
      <c r="C419" s="67" t="s">
        <v>122</v>
      </c>
      <c r="D419" s="68" t="s">
        <v>138</v>
      </c>
      <c r="E419" s="68" t="s">
        <v>140</v>
      </c>
      <c r="F419" s="131">
        <f>F420</f>
        <v>2648.3</v>
      </c>
      <c r="G419" s="64"/>
      <c r="H419" s="157"/>
      <c r="I419" s="282"/>
      <c r="J419" s="282"/>
      <c r="K419" s="282"/>
      <c r="L419" s="282"/>
      <c r="M419" s="282"/>
    </row>
    <row r="420" spans="1:13" s="52" customFormat="1" x14ac:dyDescent="0.2">
      <c r="A420" s="66" t="s">
        <v>141</v>
      </c>
      <c r="B420" s="67" t="s">
        <v>120</v>
      </c>
      <c r="C420" s="67" t="s">
        <v>122</v>
      </c>
      <c r="D420" s="68" t="s">
        <v>138</v>
      </c>
      <c r="E420" s="68">
        <v>110</v>
      </c>
      <c r="F420" s="131">
        <f>F421+F422</f>
        <v>2648.3</v>
      </c>
      <c r="G420" s="64"/>
      <c r="H420" s="90"/>
      <c r="I420" s="90"/>
      <c r="J420" s="90"/>
      <c r="K420" s="90"/>
      <c r="L420" s="90"/>
      <c r="M420" s="90"/>
    </row>
    <row r="421" spans="1:13" s="52" customFormat="1" ht="24.75" customHeight="1" x14ac:dyDescent="0.2">
      <c r="A421" s="66" t="s">
        <v>142</v>
      </c>
      <c r="B421" s="67" t="s">
        <v>120</v>
      </c>
      <c r="C421" s="67" t="s">
        <v>122</v>
      </c>
      <c r="D421" s="68" t="s">
        <v>138</v>
      </c>
      <c r="E421" s="68">
        <v>111</v>
      </c>
      <c r="F421" s="131">
        <f>'ПР 7 ведом'!G40</f>
        <v>2034</v>
      </c>
      <c r="G421" s="65"/>
      <c r="H421" s="90"/>
      <c r="I421" s="90"/>
      <c r="J421" s="90"/>
      <c r="K421" s="90"/>
      <c r="L421" s="90"/>
      <c r="M421" s="90"/>
    </row>
    <row r="422" spans="1:13" s="52" customFormat="1" ht="20.25" customHeight="1" x14ac:dyDescent="0.2">
      <c r="A422" s="69" t="s">
        <v>143</v>
      </c>
      <c r="B422" s="67" t="s">
        <v>120</v>
      </c>
      <c r="C422" s="67" t="s">
        <v>122</v>
      </c>
      <c r="D422" s="68" t="s">
        <v>138</v>
      </c>
      <c r="E422" s="68">
        <v>119</v>
      </c>
      <c r="F422" s="131">
        <f>'ПР 7 ведом'!G41</f>
        <v>614.29999999999995</v>
      </c>
      <c r="G422" s="65"/>
      <c r="H422" s="90"/>
      <c r="I422" s="90"/>
      <c r="J422" s="90"/>
      <c r="K422" s="90"/>
      <c r="L422" s="90"/>
      <c r="M422" s="90"/>
    </row>
    <row r="423" spans="1:13" s="52" customFormat="1" ht="20.25" customHeight="1" x14ac:dyDescent="0.2">
      <c r="A423" s="66" t="s">
        <v>129</v>
      </c>
      <c r="B423" s="68" t="s">
        <v>120</v>
      </c>
      <c r="C423" s="67" t="s">
        <v>122</v>
      </c>
      <c r="D423" s="68" t="s">
        <v>138</v>
      </c>
      <c r="E423" s="68" t="s">
        <v>130</v>
      </c>
      <c r="F423" s="131">
        <f>F424</f>
        <v>15129.2</v>
      </c>
      <c r="G423" s="65"/>
      <c r="H423" s="90"/>
      <c r="I423" s="90"/>
      <c r="J423" s="90"/>
      <c r="K423" s="90"/>
      <c r="L423" s="90"/>
      <c r="M423" s="90"/>
    </row>
    <row r="424" spans="1:13" s="52" customFormat="1" ht="32.25" customHeight="1" x14ac:dyDescent="0.2">
      <c r="A424" s="66" t="s">
        <v>131</v>
      </c>
      <c r="B424" s="68" t="s">
        <v>120</v>
      </c>
      <c r="C424" s="67" t="s">
        <v>122</v>
      </c>
      <c r="D424" s="68" t="s">
        <v>138</v>
      </c>
      <c r="E424" s="68" t="s">
        <v>132</v>
      </c>
      <c r="F424" s="131">
        <f>F425</f>
        <v>15129.2</v>
      </c>
      <c r="G424" s="65"/>
      <c r="H424" s="90"/>
      <c r="I424" s="90"/>
      <c r="J424" s="90"/>
      <c r="K424" s="90"/>
      <c r="L424" s="90"/>
      <c r="M424" s="90"/>
    </row>
    <row r="425" spans="1:13" s="52" customFormat="1" ht="17.25" customHeight="1" x14ac:dyDescent="0.2">
      <c r="A425" s="66" t="s">
        <v>133</v>
      </c>
      <c r="B425" s="68" t="s">
        <v>120</v>
      </c>
      <c r="C425" s="67" t="s">
        <v>122</v>
      </c>
      <c r="D425" s="68" t="s">
        <v>138</v>
      </c>
      <c r="E425" s="68" t="s">
        <v>134</v>
      </c>
      <c r="F425" s="131">
        <f>'ПР 7 ведом'!G44</f>
        <v>15129.2</v>
      </c>
      <c r="G425" s="65"/>
      <c r="H425" s="90"/>
      <c r="I425" s="90"/>
      <c r="J425" s="90"/>
      <c r="K425" s="90"/>
      <c r="L425" s="90"/>
      <c r="M425" s="90"/>
    </row>
    <row r="426" spans="1:13" s="52" customFormat="1" ht="34.5" customHeight="1" x14ac:dyDescent="0.2">
      <c r="A426" s="66" t="s">
        <v>144</v>
      </c>
      <c r="B426" s="67" t="s">
        <v>120</v>
      </c>
      <c r="C426" s="67" t="s">
        <v>122</v>
      </c>
      <c r="D426" s="68" t="s">
        <v>145</v>
      </c>
      <c r="E426" s="68"/>
      <c r="F426" s="131">
        <f>F427</f>
        <v>380</v>
      </c>
      <c r="G426" s="65"/>
      <c r="H426" s="90"/>
      <c r="I426" s="90"/>
      <c r="J426" s="90"/>
      <c r="K426" s="90"/>
      <c r="L426" s="90"/>
      <c r="M426" s="90"/>
    </row>
    <row r="427" spans="1:13" s="52" customFormat="1" ht="27.75" customHeight="1" x14ac:dyDescent="0.2">
      <c r="A427" s="66" t="s">
        <v>146</v>
      </c>
      <c r="B427" s="67" t="s">
        <v>120</v>
      </c>
      <c r="C427" s="67" t="s">
        <v>122</v>
      </c>
      <c r="D427" s="68" t="s">
        <v>147</v>
      </c>
      <c r="E427" s="68"/>
      <c r="F427" s="131">
        <f>F428+F431</f>
        <v>380</v>
      </c>
      <c r="G427" s="65"/>
      <c r="H427" s="90"/>
      <c r="I427" s="90"/>
      <c r="J427" s="90"/>
      <c r="K427" s="90"/>
      <c r="L427" s="90"/>
      <c r="M427" s="90"/>
    </row>
    <row r="428" spans="1:13" s="52" customFormat="1" ht="34.5" customHeight="1" x14ac:dyDescent="0.2">
      <c r="A428" s="66" t="s">
        <v>139</v>
      </c>
      <c r="B428" s="67" t="s">
        <v>120</v>
      </c>
      <c r="C428" s="67" t="s">
        <v>122</v>
      </c>
      <c r="D428" s="68" t="s">
        <v>147</v>
      </c>
      <c r="E428" s="68">
        <v>100</v>
      </c>
      <c r="F428" s="131">
        <f>F429</f>
        <v>84</v>
      </c>
      <c r="G428" s="65"/>
      <c r="H428" s="90"/>
      <c r="I428" s="90"/>
      <c r="J428" s="90"/>
      <c r="K428" s="90"/>
      <c r="L428" s="90"/>
      <c r="M428" s="90"/>
    </row>
    <row r="429" spans="1:13" s="52" customFormat="1" x14ac:dyDescent="0.2">
      <c r="A429" s="66" t="s">
        <v>141</v>
      </c>
      <c r="B429" s="67" t="s">
        <v>120</v>
      </c>
      <c r="C429" s="67" t="s">
        <v>122</v>
      </c>
      <c r="D429" s="68" t="s">
        <v>147</v>
      </c>
      <c r="E429" s="68">
        <v>110</v>
      </c>
      <c r="F429" s="131">
        <f>F430</f>
        <v>84</v>
      </c>
      <c r="G429" s="65"/>
      <c r="H429" s="90"/>
      <c r="I429" s="90"/>
      <c r="J429" s="90"/>
      <c r="K429" s="90"/>
      <c r="L429" s="90"/>
      <c r="M429" s="90"/>
    </row>
    <row r="430" spans="1:13" s="52" customFormat="1" ht="19.5" customHeight="1" x14ac:dyDescent="0.2">
      <c r="A430" s="70" t="s">
        <v>148</v>
      </c>
      <c r="B430" s="67" t="s">
        <v>120</v>
      </c>
      <c r="C430" s="67" t="s">
        <v>122</v>
      </c>
      <c r="D430" s="68" t="s">
        <v>147</v>
      </c>
      <c r="E430" s="68">
        <v>112</v>
      </c>
      <c r="F430" s="131">
        <f>'ПР 7 ведом'!G54</f>
        <v>84</v>
      </c>
      <c r="G430" s="65"/>
      <c r="H430" s="90"/>
      <c r="I430" s="90"/>
      <c r="J430" s="90"/>
      <c r="K430" s="90"/>
      <c r="L430" s="90"/>
      <c r="M430" s="90"/>
    </row>
    <row r="431" spans="1:13" s="52" customFormat="1" ht="30.75" customHeight="1" x14ac:dyDescent="0.2">
      <c r="A431" s="66" t="s">
        <v>149</v>
      </c>
      <c r="B431" s="67" t="s">
        <v>120</v>
      </c>
      <c r="C431" s="67" t="s">
        <v>122</v>
      </c>
      <c r="D431" s="68" t="s">
        <v>147</v>
      </c>
      <c r="E431" s="68" t="s">
        <v>150</v>
      </c>
      <c r="F431" s="131">
        <f>F432</f>
        <v>296</v>
      </c>
      <c r="G431" s="65"/>
      <c r="H431" s="90"/>
      <c r="I431" s="90"/>
      <c r="J431" s="90"/>
      <c r="K431" s="90"/>
      <c r="L431" s="90"/>
      <c r="M431" s="90"/>
    </row>
    <row r="432" spans="1:13" s="52" customFormat="1" ht="37.5" customHeight="1" x14ac:dyDescent="0.2">
      <c r="A432" s="66" t="s">
        <v>151</v>
      </c>
      <c r="B432" s="67" t="s">
        <v>120</v>
      </c>
      <c r="C432" s="67" t="s">
        <v>122</v>
      </c>
      <c r="D432" s="68" t="s">
        <v>147</v>
      </c>
      <c r="E432" s="68" t="s">
        <v>152</v>
      </c>
      <c r="F432" s="131">
        <f>F433</f>
        <v>296</v>
      </c>
      <c r="G432" s="65"/>
      <c r="H432" s="90"/>
      <c r="I432" s="90"/>
      <c r="J432" s="90"/>
      <c r="K432" s="90"/>
      <c r="L432" s="90"/>
      <c r="M432" s="90"/>
    </row>
    <row r="433" spans="1:13" s="52" customFormat="1" ht="12" customHeight="1" x14ac:dyDescent="0.2">
      <c r="A433" s="70" t="s">
        <v>153</v>
      </c>
      <c r="B433" s="67" t="s">
        <v>120</v>
      </c>
      <c r="C433" s="67" t="s">
        <v>122</v>
      </c>
      <c r="D433" s="68" t="s">
        <v>147</v>
      </c>
      <c r="E433" s="68" t="s">
        <v>154</v>
      </c>
      <c r="F433" s="131">
        <f>'ПР 7 ведом'!G57</f>
        <v>296</v>
      </c>
      <c r="G433" s="65"/>
      <c r="H433" s="90"/>
      <c r="I433" s="90"/>
      <c r="J433" s="90"/>
      <c r="K433" s="90"/>
      <c r="L433" s="90"/>
      <c r="M433" s="90"/>
    </row>
    <row r="434" spans="1:13" s="52" customFormat="1" ht="33.75" customHeight="1" x14ac:dyDescent="0.2">
      <c r="A434" s="70" t="s">
        <v>157</v>
      </c>
      <c r="B434" s="67" t="s">
        <v>120</v>
      </c>
      <c r="C434" s="67" t="s">
        <v>122</v>
      </c>
      <c r="D434" s="68" t="s">
        <v>158</v>
      </c>
      <c r="E434" s="68"/>
      <c r="F434" s="131">
        <f>F435+F438</f>
        <v>110</v>
      </c>
      <c r="G434" s="65"/>
      <c r="H434" s="90"/>
      <c r="I434" s="90"/>
      <c r="J434" s="90"/>
      <c r="K434" s="90"/>
      <c r="L434" s="90"/>
      <c r="M434" s="90"/>
    </row>
    <row r="435" spans="1:13" s="52" customFormat="1" ht="33.75" customHeight="1" x14ac:dyDescent="0.2">
      <c r="A435" s="83" t="s">
        <v>139</v>
      </c>
      <c r="B435" s="87" t="s">
        <v>120</v>
      </c>
      <c r="C435" s="87" t="s">
        <v>122</v>
      </c>
      <c r="D435" s="84" t="s">
        <v>158</v>
      </c>
      <c r="E435" s="84">
        <v>100</v>
      </c>
      <c r="F435" s="131">
        <f>F436</f>
        <v>6.6</v>
      </c>
      <c r="G435" s="65"/>
      <c r="H435" s="90"/>
      <c r="I435" s="90"/>
      <c r="J435" s="90"/>
      <c r="K435" s="90"/>
      <c r="L435" s="90"/>
      <c r="M435" s="90"/>
    </row>
    <row r="436" spans="1:13" s="52" customFormat="1" ht="33.75" customHeight="1" x14ac:dyDescent="0.2">
      <c r="A436" s="83" t="s">
        <v>141</v>
      </c>
      <c r="B436" s="87" t="s">
        <v>120</v>
      </c>
      <c r="C436" s="87" t="s">
        <v>122</v>
      </c>
      <c r="D436" s="84" t="s">
        <v>158</v>
      </c>
      <c r="E436" s="84">
        <v>110</v>
      </c>
      <c r="F436" s="131">
        <f>F437</f>
        <v>6.6</v>
      </c>
      <c r="G436" s="65"/>
      <c r="H436" s="90"/>
      <c r="I436" s="90"/>
      <c r="J436" s="90"/>
      <c r="K436" s="90"/>
      <c r="L436" s="90"/>
      <c r="M436" s="90"/>
    </row>
    <row r="437" spans="1:13" s="52" customFormat="1" ht="33.75" customHeight="1" x14ac:dyDescent="0.2">
      <c r="A437" s="115" t="s">
        <v>565</v>
      </c>
      <c r="B437" s="87" t="s">
        <v>120</v>
      </c>
      <c r="C437" s="87" t="s">
        <v>122</v>
      </c>
      <c r="D437" s="84" t="s">
        <v>158</v>
      </c>
      <c r="E437" s="84">
        <v>112</v>
      </c>
      <c r="F437" s="131">
        <f>'ПР 7 ведом'!G49</f>
        <v>6.6</v>
      </c>
      <c r="G437" s="65"/>
      <c r="H437" s="90"/>
      <c r="I437" s="90"/>
      <c r="J437" s="90"/>
      <c r="K437" s="90"/>
      <c r="L437" s="90"/>
      <c r="M437" s="90"/>
    </row>
    <row r="438" spans="1:13" s="52" customFormat="1" ht="25.5" customHeight="1" x14ac:dyDescent="0.2">
      <c r="A438" s="66" t="s">
        <v>129</v>
      </c>
      <c r="B438" s="67" t="s">
        <v>120</v>
      </c>
      <c r="C438" s="67" t="s">
        <v>122</v>
      </c>
      <c r="D438" s="68" t="s">
        <v>158</v>
      </c>
      <c r="E438" s="68">
        <v>600</v>
      </c>
      <c r="F438" s="131">
        <f>F439</f>
        <v>103.4</v>
      </c>
      <c r="G438" s="65"/>
      <c r="H438" s="90"/>
      <c r="I438" s="90"/>
      <c r="J438" s="90"/>
      <c r="K438" s="90"/>
      <c r="L438" s="90"/>
      <c r="M438" s="90"/>
    </row>
    <row r="439" spans="1:13" s="52" customFormat="1" ht="24" customHeight="1" x14ac:dyDescent="0.2">
      <c r="A439" s="66" t="s">
        <v>131</v>
      </c>
      <c r="B439" s="67" t="s">
        <v>120</v>
      </c>
      <c r="C439" s="67" t="s">
        <v>122</v>
      </c>
      <c r="D439" s="68" t="s">
        <v>158</v>
      </c>
      <c r="E439" s="68">
        <v>610</v>
      </c>
      <c r="F439" s="131">
        <f>F440</f>
        <v>103.4</v>
      </c>
      <c r="G439" s="65"/>
      <c r="H439" s="90"/>
      <c r="I439" s="90"/>
      <c r="J439" s="90"/>
      <c r="K439" s="90"/>
      <c r="L439" s="90"/>
      <c r="M439" s="90"/>
    </row>
    <row r="440" spans="1:13" s="52" customFormat="1" ht="45" x14ac:dyDescent="0.2">
      <c r="A440" s="66" t="s">
        <v>133</v>
      </c>
      <c r="B440" s="67" t="s">
        <v>120</v>
      </c>
      <c r="C440" s="67" t="s">
        <v>122</v>
      </c>
      <c r="D440" s="68" t="s">
        <v>158</v>
      </c>
      <c r="E440" s="68">
        <v>611</v>
      </c>
      <c r="F440" s="131">
        <f>'ПР 7 ведом'!G61</f>
        <v>103.4</v>
      </c>
      <c r="G440" s="65"/>
      <c r="H440" s="90"/>
      <c r="I440" s="90"/>
      <c r="J440" s="90"/>
      <c r="K440" s="90"/>
      <c r="L440" s="90"/>
      <c r="M440" s="90"/>
    </row>
    <row r="441" spans="1:13" s="52" customFormat="1" ht="15" customHeight="1" x14ac:dyDescent="0.2">
      <c r="A441" s="61" t="s">
        <v>159</v>
      </c>
      <c r="B441" s="96" t="s">
        <v>120</v>
      </c>
      <c r="C441" s="94" t="s">
        <v>160</v>
      </c>
      <c r="D441" s="68"/>
      <c r="E441" s="68"/>
      <c r="F441" s="138">
        <f>F447+F442</f>
        <v>10251.299999999999</v>
      </c>
      <c r="G441" s="65"/>
      <c r="H441" s="90"/>
      <c r="I441" s="90"/>
      <c r="J441" s="90"/>
      <c r="K441" s="90"/>
      <c r="L441" s="90"/>
      <c r="M441" s="90"/>
    </row>
    <row r="442" spans="1:13" s="52" customFormat="1" ht="20.25" customHeight="1" x14ac:dyDescent="0.2">
      <c r="A442" s="71" t="s">
        <v>161</v>
      </c>
      <c r="B442" s="67" t="s">
        <v>120</v>
      </c>
      <c r="C442" s="67" t="s">
        <v>160</v>
      </c>
      <c r="D442" s="68" t="s">
        <v>162</v>
      </c>
      <c r="E442" s="68"/>
      <c r="F442" s="131">
        <f>F443</f>
        <v>220</v>
      </c>
      <c r="G442" s="65"/>
      <c r="H442" s="90"/>
      <c r="I442" s="90"/>
      <c r="J442" s="90"/>
      <c r="K442" s="90"/>
      <c r="L442" s="90"/>
      <c r="M442" s="90"/>
    </row>
    <row r="443" spans="1:13" s="52" customFormat="1" ht="20.25" customHeight="1" x14ac:dyDescent="0.2">
      <c r="A443" s="300" t="s">
        <v>163</v>
      </c>
      <c r="B443" s="67" t="s">
        <v>120</v>
      </c>
      <c r="C443" s="67" t="s">
        <v>160</v>
      </c>
      <c r="D443" s="68" t="s">
        <v>164</v>
      </c>
      <c r="E443" s="68"/>
      <c r="F443" s="131">
        <f>F444</f>
        <v>220</v>
      </c>
      <c r="G443" s="65"/>
      <c r="H443" s="90"/>
      <c r="I443" s="90"/>
      <c r="J443" s="90"/>
      <c r="K443" s="90"/>
      <c r="L443" s="90"/>
      <c r="M443" s="90"/>
    </row>
    <row r="444" spans="1:13" s="52" customFormat="1" ht="20.25" customHeight="1" x14ac:dyDescent="0.2">
      <c r="A444" s="66" t="s">
        <v>149</v>
      </c>
      <c r="B444" s="67" t="s">
        <v>120</v>
      </c>
      <c r="C444" s="67" t="s">
        <v>160</v>
      </c>
      <c r="D444" s="68" t="s">
        <v>164</v>
      </c>
      <c r="E444" s="68" t="s">
        <v>150</v>
      </c>
      <c r="F444" s="131">
        <f>F445</f>
        <v>220</v>
      </c>
      <c r="G444" s="65"/>
      <c r="H444" s="90"/>
      <c r="I444" s="90"/>
      <c r="J444" s="90"/>
      <c r="K444" s="90"/>
      <c r="L444" s="90"/>
      <c r="M444" s="90"/>
    </row>
    <row r="445" spans="1:13" s="52" customFormat="1" ht="22.5" x14ac:dyDescent="0.2">
      <c r="A445" s="66" t="s">
        <v>151</v>
      </c>
      <c r="B445" s="67" t="s">
        <v>120</v>
      </c>
      <c r="C445" s="67" t="s">
        <v>160</v>
      </c>
      <c r="D445" s="68" t="s">
        <v>164</v>
      </c>
      <c r="E445" s="68" t="s">
        <v>152</v>
      </c>
      <c r="F445" s="131">
        <f>F446</f>
        <v>220</v>
      </c>
      <c r="G445" s="65"/>
      <c r="H445" s="90"/>
      <c r="I445" s="90"/>
      <c r="J445" s="90"/>
      <c r="K445" s="90"/>
      <c r="L445" s="90"/>
      <c r="M445" s="90"/>
    </row>
    <row r="446" spans="1:13" s="52" customFormat="1" ht="22.5" x14ac:dyDescent="0.2">
      <c r="A446" s="70" t="s">
        <v>153</v>
      </c>
      <c r="B446" s="67" t="s">
        <v>120</v>
      </c>
      <c r="C446" s="67" t="s">
        <v>160</v>
      </c>
      <c r="D446" s="68" t="s">
        <v>164</v>
      </c>
      <c r="E446" s="68" t="s">
        <v>154</v>
      </c>
      <c r="F446" s="131">
        <f>'ПР 7 ведом'!G67</f>
        <v>220</v>
      </c>
      <c r="G446" s="65"/>
      <c r="H446" s="90"/>
      <c r="I446" s="90"/>
      <c r="J446" s="90"/>
      <c r="K446" s="90"/>
      <c r="L446" s="90"/>
      <c r="M446" s="90"/>
    </row>
    <row r="447" spans="1:13" s="52" customFormat="1" ht="23.25" customHeight="1" x14ac:dyDescent="0.2">
      <c r="A447" s="66" t="s">
        <v>144</v>
      </c>
      <c r="B447" s="67" t="s">
        <v>120</v>
      </c>
      <c r="C447" s="67" t="s">
        <v>160</v>
      </c>
      <c r="D447" s="68" t="s">
        <v>145</v>
      </c>
      <c r="E447" s="68"/>
      <c r="F447" s="131">
        <f>F448+F453</f>
        <v>10031.299999999999</v>
      </c>
      <c r="G447" s="65"/>
      <c r="H447" s="90"/>
      <c r="I447" s="90"/>
      <c r="J447" s="90"/>
      <c r="K447" s="90"/>
      <c r="L447" s="90"/>
      <c r="M447" s="90"/>
    </row>
    <row r="448" spans="1:13" s="52" customFormat="1" ht="32.25" customHeight="1" x14ac:dyDescent="0.2">
      <c r="A448" s="66" t="s">
        <v>165</v>
      </c>
      <c r="B448" s="68" t="s">
        <v>120</v>
      </c>
      <c r="C448" s="67" t="s">
        <v>160</v>
      </c>
      <c r="D448" s="68" t="s">
        <v>166</v>
      </c>
      <c r="E448" s="68"/>
      <c r="F448" s="131">
        <f>F449</f>
        <v>490.3</v>
      </c>
      <c r="G448" s="65"/>
      <c r="H448" s="90"/>
      <c r="I448" s="90"/>
      <c r="J448" s="90"/>
      <c r="K448" s="90"/>
      <c r="L448" s="90"/>
      <c r="M448" s="90"/>
    </row>
    <row r="449" spans="1:13" s="52" customFormat="1" ht="24" customHeight="1" x14ac:dyDescent="0.2">
      <c r="A449" s="66" t="s">
        <v>139</v>
      </c>
      <c r="B449" s="68" t="s">
        <v>120</v>
      </c>
      <c r="C449" s="67" t="s">
        <v>160</v>
      </c>
      <c r="D449" s="68" t="s">
        <v>167</v>
      </c>
      <c r="E449" s="68">
        <v>100</v>
      </c>
      <c r="F449" s="131">
        <f>F450</f>
        <v>490.3</v>
      </c>
      <c r="G449" s="65"/>
      <c r="H449" s="90"/>
      <c r="I449" s="90"/>
      <c r="J449" s="90"/>
      <c r="K449" s="90"/>
      <c r="L449" s="90"/>
      <c r="M449" s="90"/>
    </row>
    <row r="450" spans="1:13" s="52" customFormat="1" ht="23.25" customHeight="1" x14ac:dyDescent="0.2">
      <c r="A450" s="66" t="s">
        <v>168</v>
      </c>
      <c r="B450" s="68" t="s">
        <v>120</v>
      </c>
      <c r="C450" s="67" t="s">
        <v>160</v>
      </c>
      <c r="D450" s="68" t="s">
        <v>167</v>
      </c>
      <c r="E450" s="68">
        <v>120</v>
      </c>
      <c r="F450" s="131">
        <f>F451+F452</f>
        <v>490.3</v>
      </c>
      <c r="G450" s="65"/>
      <c r="H450" s="90"/>
      <c r="I450" s="90"/>
      <c r="J450" s="90"/>
      <c r="K450" s="90"/>
      <c r="L450" s="90"/>
      <c r="M450" s="90"/>
    </row>
    <row r="451" spans="1:13" s="52" customFormat="1" ht="24" customHeight="1" x14ac:dyDescent="0.2">
      <c r="A451" s="69" t="s">
        <v>169</v>
      </c>
      <c r="B451" s="68" t="s">
        <v>120</v>
      </c>
      <c r="C451" s="67" t="s">
        <v>160</v>
      </c>
      <c r="D451" s="68" t="s">
        <v>167</v>
      </c>
      <c r="E451" s="68">
        <v>121</v>
      </c>
      <c r="F451" s="131">
        <f>'ПР 7 ведом'!G72</f>
        <v>376.6</v>
      </c>
      <c r="G451" s="65"/>
      <c r="H451" s="90"/>
      <c r="I451" s="90"/>
      <c r="J451" s="90"/>
      <c r="K451" s="90"/>
      <c r="L451" s="90"/>
      <c r="M451" s="90"/>
    </row>
    <row r="452" spans="1:13" s="52" customFormat="1" ht="16.5" customHeight="1" x14ac:dyDescent="0.2">
      <c r="A452" s="69" t="s">
        <v>170</v>
      </c>
      <c r="B452" s="68" t="s">
        <v>120</v>
      </c>
      <c r="C452" s="67" t="s">
        <v>160</v>
      </c>
      <c r="D452" s="68" t="s">
        <v>167</v>
      </c>
      <c r="E452" s="68">
        <v>129</v>
      </c>
      <c r="F452" s="131">
        <f>'ПР 7 ведом'!G73</f>
        <v>113.7</v>
      </c>
      <c r="G452" s="65"/>
      <c r="H452" s="90"/>
      <c r="I452" s="90"/>
      <c r="J452" s="90"/>
      <c r="K452" s="90"/>
      <c r="L452" s="90"/>
      <c r="M452" s="90"/>
    </row>
    <row r="453" spans="1:13" s="52" customFormat="1" ht="22.5" x14ac:dyDescent="0.2">
      <c r="A453" s="66" t="s">
        <v>146</v>
      </c>
      <c r="B453" s="68" t="s">
        <v>120</v>
      </c>
      <c r="C453" s="67" t="s">
        <v>160</v>
      </c>
      <c r="D453" s="68" t="s">
        <v>177</v>
      </c>
      <c r="E453" s="68"/>
      <c r="F453" s="131">
        <f>F454+F458</f>
        <v>9541</v>
      </c>
      <c r="G453" s="65"/>
      <c r="H453" s="90"/>
      <c r="I453" s="90"/>
      <c r="J453" s="90"/>
      <c r="K453" s="90"/>
      <c r="L453" s="90"/>
      <c r="M453" s="90"/>
    </row>
    <row r="454" spans="1:13" s="52" customFormat="1" ht="12" customHeight="1" x14ac:dyDescent="0.2">
      <c r="A454" s="66" t="s">
        <v>139</v>
      </c>
      <c r="B454" s="68" t="s">
        <v>120</v>
      </c>
      <c r="C454" s="67" t="s">
        <v>160</v>
      </c>
      <c r="D454" s="68" t="s">
        <v>178</v>
      </c>
      <c r="E454" s="68">
        <v>100</v>
      </c>
      <c r="F454" s="131">
        <f>F455</f>
        <v>9401</v>
      </c>
      <c r="G454" s="65"/>
      <c r="H454" s="90"/>
      <c r="I454" s="90"/>
      <c r="J454" s="90"/>
      <c r="K454" s="90"/>
      <c r="L454" s="90"/>
      <c r="M454" s="90"/>
    </row>
    <row r="455" spans="1:13" s="52" customFormat="1" ht="33" customHeight="1" x14ac:dyDescent="0.2">
      <c r="A455" s="66" t="s">
        <v>141</v>
      </c>
      <c r="B455" s="68" t="s">
        <v>120</v>
      </c>
      <c r="C455" s="67" t="s">
        <v>160</v>
      </c>
      <c r="D455" s="68" t="s">
        <v>178</v>
      </c>
      <c r="E455" s="68">
        <v>110</v>
      </c>
      <c r="F455" s="131">
        <f>F456+F457</f>
        <v>9401</v>
      </c>
      <c r="G455" s="65"/>
      <c r="H455" s="90"/>
      <c r="I455" s="90"/>
      <c r="J455" s="90"/>
      <c r="K455" s="90"/>
      <c r="L455" s="90"/>
      <c r="M455" s="90"/>
    </row>
    <row r="456" spans="1:13" s="52" customFormat="1" ht="21.75" customHeight="1" x14ac:dyDescent="0.2">
      <c r="A456" s="66" t="s">
        <v>142</v>
      </c>
      <c r="B456" s="68" t="s">
        <v>120</v>
      </c>
      <c r="C456" s="67" t="s">
        <v>160</v>
      </c>
      <c r="D456" s="68" t="s">
        <v>178</v>
      </c>
      <c r="E456" s="68">
        <v>111</v>
      </c>
      <c r="F456" s="131">
        <f>'ПР 7 ведом'!G77</f>
        <v>7220.5</v>
      </c>
      <c r="G456" s="65"/>
      <c r="H456" s="90"/>
      <c r="I456" s="90"/>
      <c r="J456" s="90"/>
      <c r="K456" s="90"/>
      <c r="L456" s="90"/>
      <c r="M456" s="90"/>
    </row>
    <row r="457" spans="1:13" s="52" customFormat="1" ht="23.25" customHeight="1" x14ac:dyDescent="0.2">
      <c r="A457" s="69" t="s">
        <v>143</v>
      </c>
      <c r="B457" s="68" t="s">
        <v>120</v>
      </c>
      <c r="C457" s="67" t="s">
        <v>160</v>
      </c>
      <c r="D457" s="68" t="s">
        <v>178</v>
      </c>
      <c r="E457" s="68">
        <v>119</v>
      </c>
      <c r="F457" s="131">
        <f>'ПР 7 ведом'!G78</f>
        <v>2180.5</v>
      </c>
      <c r="G457" s="65"/>
      <c r="H457" s="90"/>
      <c r="I457" s="90"/>
      <c r="J457" s="90"/>
      <c r="K457" s="90"/>
      <c r="L457" s="90"/>
      <c r="M457" s="90"/>
    </row>
    <row r="458" spans="1:13" s="52" customFormat="1" ht="23.25" customHeight="1" x14ac:dyDescent="0.2">
      <c r="A458" s="66" t="s">
        <v>149</v>
      </c>
      <c r="B458" s="68" t="s">
        <v>120</v>
      </c>
      <c r="C458" s="67" t="s">
        <v>160</v>
      </c>
      <c r="D458" s="68" t="s">
        <v>179</v>
      </c>
      <c r="E458" s="68" t="s">
        <v>150</v>
      </c>
      <c r="F458" s="131">
        <f>SUM(F459)</f>
        <v>140</v>
      </c>
      <c r="G458" s="65"/>
      <c r="H458" s="90"/>
      <c r="I458" s="90"/>
      <c r="J458" s="90"/>
      <c r="K458" s="90"/>
      <c r="L458" s="90"/>
      <c r="M458" s="90"/>
    </row>
    <row r="459" spans="1:13" s="52" customFormat="1" ht="21.75" customHeight="1" x14ac:dyDescent="0.2">
      <c r="A459" s="66" t="s">
        <v>151</v>
      </c>
      <c r="B459" s="68" t="s">
        <v>120</v>
      </c>
      <c r="C459" s="67" t="s">
        <v>160</v>
      </c>
      <c r="D459" s="68" t="s">
        <v>179</v>
      </c>
      <c r="E459" s="68" t="s">
        <v>152</v>
      </c>
      <c r="F459" s="131">
        <f>F461+F460</f>
        <v>140</v>
      </c>
      <c r="G459" s="65"/>
      <c r="H459" s="90"/>
      <c r="I459" s="90"/>
      <c r="J459" s="90"/>
      <c r="K459" s="90"/>
      <c r="L459" s="90"/>
      <c r="M459" s="90"/>
    </row>
    <row r="460" spans="1:13" s="52" customFormat="1" ht="21.75" customHeight="1" x14ac:dyDescent="0.2">
      <c r="A460" s="70" t="s">
        <v>171</v>
      </c>
      <c r="B460" s="68" t="s">
        <v>120</v>
      </c>
      <c r="C460" s="67" t="s">
        <v>160</v>
      </c>
      <c r="D460" s="68" t="s">
        <v>179</v>
      </c>
      <c r="E460" s="68">
        <v>242</v>
      </c>
      <c r="F460" s="131">
        <f>'ПР 7 ведом'!G81</f>
        <v>110</v>
      </c>
      <c r="G460" s="65"/>
      <c r="H460" s="90"/>
      <c r="I460" s="90"/>
      <c r="J460" s="90"/>
      <c r="K460" s="90"/>
      <c r="L460" s="90"/>
      <c r="M460" s="90"/>
    </row>
    <row r="461" spans="1:13" s="74" customFormat="1" ht="26.25" customHeight="1" x14ac:dyDescent="0.2">
      <c r="A461" s="70" t="s">
        <v>153</v>
      </c>
      <c r="B461" s="68" t="s">
        <v>120</v>
      </c>
      <c r="C461" s="67" t="s">
        <v>160</v>
      </c>
      <c r="D461" s="68" t="s">
        <v>179</v>
      </c>
      <c r="E461" s="68" t="s">
        <v>154</v>
      </c>
      <c r="F461" s="131">
        <f>'ПР 7 ведом'!G82</f>
        <v>30</v>
      </c>
      <c r="G461" s="294"/>
      <c r="H461" s="150"/>
      <c r="I461" s="150"/>
      <c r="J461" s="150"/>
      <c r="K461" s="150"/>
      <c r="L461" s="150"/>
      <c r="M461" s="150"/>
    </row>
    <row r="462" spans="1:13" s="74" customFormat="1" ht="15.75" customHeight="1" x14ac:dyDescent="0.2">
      <c r="A462" s="341" t="s">
        <v>456</v>
      </c>
      <c r="B462" s="328" t="s">
        <v>262</v>
      </c>
      <c r="C462" s="337" t="s">
        <v>182</v>
      </c>
      <c r="D462" s="328" t="s">
        <v>183</v>
      </c>
      <c r="E462" s="328" t="s">
        <v>184</v>
      </c>
      <c r="F462" s="338">
        <f t="shared" ref="F462:F468" si="0">F463</f>
        <v>200</v>
      </c>
      <c r="G462" s="294"/>
      <c r="H462" s="150"/>
      <c r="I462" s="150"/>
      <c r="J462" s="150"/>
      <c r="K462" s="150"/>
      <c r="L462" s="150"/>
      <c r="M462" s="150"/>
    </row>
    <row r="463" spans="1:13" s="52" customFormat="1" ht="27" customHeight="1" x14ac:dyDescent="0.2">
      <c r="A463" s="66" t="s">
        <v>457</v>
      </c>
      <c r="B463" s="68" t="s">
        <v>262</v>
      </c>
      <c r="C463" s="67" t="s">
        <v>262</v>
      </c>
      <c r="D463" s="68" t="s">
        <v>183</v>
      </c>
      <c r="E463" s="68" t="s">
        <v>184</v>
      </c>
      <c r="F463" s="131">
        <f t="shared" si="0"/>
        <v>200</v>
      </c>
      <c r="G463" s="65"/>
      <c r="H463" s="90"/>
      <c r="I463" s="90"/>
      <c r="J463" s="90"/>
      <c r="K463" s="90"/>
      <c r="L463" s="90"/>
      <c r="M463" s="90"/>
    </row>
    <row r="464" spans="1:13" s="52" customFormat="1" ht="32.25" x14ac:dyDescent="0.2">
      <c r="A464" s="301" t="s">
        <v>458</v>
      </c>
      <c r="B464" s="96" t="s">
        <v>262</v>
      </c>
      <c r="C464" s="94" t="s">
        <v>262</v>
      </c>
      <c r="D464" s="96" t="s">
        <v>459</v>
      </c>
      <c r="E464" s="96"/>
      <c r="F464" s="131">
        <f>F465</f>
        <v>200</v>
      </c>
      <c r="G464" s="65"/>
      <c r="H464" s="90"/>
      <c r="I464" s="90"/>
      <c r="J464" s="90"/>
      <c r="K464" s="90"/>
      <c r="L464" s="90"/>
      <c r="M464" s="90"/>
    </row>
    <row r="465" spans="1:13" s="52" customFormat="1" ht="12.75" customHeight="1" x14ac:dyDescent="0.2">
      <c r="A465" s="66" t="s">
        <v>460</v>
      </c>
      <c r="B465" s="68" t="s">
        <v>262</v>
      </c>
      <c r="C465" s="67" t="s">
        <v>262</v>
      </c>
      <c r="D465" s="68" t="s">
        <v>461</v>
      </c>
      <c r="E465" s="68" t="s">
        <v>184</v>
      </c>
      <c r="F465" s="131">
        <f>F466</f>
        <v>200</v>
      </c>
      <c r="G465" s="65"/>
      <c r="H465" s="90"/>
      <c r="I465" s="90"/>
      <c r="J465" s="90"/>
      <c r="K465" s="90"/>
      <c r="L465" s="90"/>
      <c r="M465" s="90"/>
    </row>
    <row r="466" spans="1:13" s="52" customFormat="1" ht="18" customHeight="1" x14ac:dyDescent="0.2">
      <c r="A466" s="66" t="s">
        <v>462</v>
      </c>
      <c r="B466" s="68" t="s">
        <v>262</v>
      </c>
      <c r="C466" s="67" t="s">
        <v>262</v>
      </c>
      <c r="D466" s="68" t="s">
        <v>463</v>
      </c>
      <c r="E466" s="68"/>
      <c r="F466" s="131">
        <f>F467</f>
        <v>200</v>
      </c>
      <c r="G466" s="65"/>
      <c r="H466" s="90"/>
      <c r="I466" s="90"/>
      <c r="J466" s="90"/>
      <c r="K466" s="90"/>
      <c r="L466" s="90"/>
      <c r="M466" s="90"/>
    </row>
    <row r="467" spans="1:13" s="52" customFormat="1" ht="34.5" customHeight="1" x14ac:dyDescent="0.2">
      <c r="A467" s="66" t="s">
        <v>149</v>
      </c>
      <c r="B467" s="68" t="s">
        <v>262</v>
      </c>
      <c r="C467" s="67" t="s">
        <v>262</v>
      </c>
      <c r="D467" s="68" t="s">
        <v>463</v>
      </c>
      <c r="E467" s="68" t="s">
        <v>150</v>
      </c>
      <c r="F467" s="131">
        <f t="shared" si="0"/>
        <v>200</v>
      </c>
      <c r="G467" s="65"/>
      <c r="H467" s="90"/>
      <c r="I467" s="90"/>
      <c r="J467" s="90"/>
      <c r="K467" s="90"/>
      <c r="L467" s="90"/>
      <c r="M467" s="90"/>
    </row>
    <row r="468" spans="1:13" s="52" customFormat="1" ht="24" customHeight="1" x14ac:dyDescent="0.2">
      <c r="A468" s="66" t="s">
        <v>151</v>
      </c>
      <c r="B468" s="68" t="s">
        <v>262</v>
      </c>
      <c r="C468" s="67" t="s">
        <v>262</v>
      </c>
      <c r="D468" s="68" t="s">
        <v>463</v>
      </c>
      <c r="E468" s="68" t="s">
        <v>152</v>
      </c>
      <c r="F468" s="131">
        <f t="shared" si="0"/>
        <v>200</v>
      </c>
      <c r="G468" s="65"/>
      <c r="H468" s="90"/>
      <c r="I468" s="90"/>
      <c r="J468" s="90"/>
      <c r="K468" s="90"/>
      <c r="L468" s="90"/>
      <c r="M468" s="90"/>
    </row>
    <row r="469" spans="1:13" s="52" customFormat="1" ht="24" customHeight="1" x14ac:dyDescent="0.2">
      <c r="A469" s="70" t="s">
        <v>153</v>
      </c>
      <c r="B469" s="68" t="s">
        <v>262</v>
      </c>
      <c r="C469" s="67" t="s">
        <v>262</v>
      </c>
      <c r="D469" s="68" t="s">
        <v>463</v>
      </c>
      <c r="E469" s="68" t="s">
        <v>154</v>
      </c>
      <c r="F469" s="140">
        <f>'ПР 7 ведом'!G585</f>
        <v>200</v>
      </c>
      <c r="G469" s="65"/>
      <c r="H469" s="90"/>
      <c r="I469" s="90"/>
      <c r="J469" s="90"/>
      <c r="K469" s="90"/>
      <c r="L469" s="90"/>
      <c r="M469" s="90"/>
    </row>
    <row r="470" spans="1:13" s="52" customFormat="1" ht="24" customHeight="1" x14ac:dyDescent="0.2">
      <c r="A470" s="341" t="s">
        <v>185</v>
      </c>
      <c r="B470" s="328" t="s">
        <v>186</v>
      </c>
      <c r="C470" s="337" t="s">
        <v>182</v>
      </c>
      <c r="D470" s="328" t="s">
        <v>183</v>
      </c>
      <c r="E470" s="328" t="s">
        <v>184</v>
      </c>
      <c r="F470" s="338">
        <f>F471+F528+F541</f>
        <v>70256.099999999991</v>
      </c>
      <c r="G470" s="65"/>
      <c r="H470" s="90"/>
      <c r="I470" s="90"/>
      <c r="J470" s="90"/>
      <c r="K470" s="90"/>
      <c r="L470" s="90"/>
      <c r="M470" s="90"/>
    </row>
    <row r="471" spans="1:13" s="52" customFormat="1" ht="24" customHeight="1" x14ac:dyDescent="0.2">
      <c r="A471" s="61" t="s">
        <v>187</v>
      </c>
      <c r="B471" s="96" t="s">
        <v>186</v>
      </c>
      <c r="C471" s="94" t="s">
        <v>188</v>
      </c>
      <c r="D471" s="68"/>
      <c r="E471" s="68"/>
      <c r="F471" s="138">
        <f>F472+F523</f>
        <v>30390.799999999999</v>
      </c>
      <c r="G471" s="65"/>
      <c r="H471" s="90"/>
      <c r="I471" s="90"/>
      <c r="J471" s="90"/>
      <c r="K471" s="90"/>
      <c r="L471" s="90"/>
      <c r="M471" s="90"/>
    </row>
    <row r="472" spans="1:13" s="52" customFormat="1" ht="24" customHeight="1" x14ac:dyDescent="0.2">
      <c r="A472" s="61" t="s">
        <v>189</v>
      </c>
      <c r="B472" s="96">
        <v>10</v>
      </c>
      <c r="C472" s="94" t="s">
        <v>188</v>
      </c>
      <c r="D472" s="96" t="s">
        <v>190</v>
      </c>
      <c r="E472" s="68"/>
      <c r="F472" s="138">
        <f>F473+F492+F514</f>
        <v>29390.799999999999</v>
      </c>
      <c r="G472" s="65"/>
      <c r="H472" s="90"/>
      <c r="I472" s="90"/>
      <c r="J472" s="90"/>
      <c r="K472" s="90"/>
      <c r="L472" s="90"/>
      <c r="M472" s="90"/>
    </row>
    <row r="473" spans="1:13" s="52" customFormat="1" ht="24" customHeight="1" x14ac:dyDescent="0.2">
      <c r="A473" s="66" t="s">
        <v>191</v>
      </c>
      <c r="B473" s="73" t="s">
        <v>186</v>
      </c>
      <c r="C473" s="73" t="s">
        <v>188</v>
      </c>
      <c r="D473" s="73" t="s">
        <v>192</v>
      </c>
      <c r="E473" s="78"/>
      <c r="F473" s="131">
        <f>F474+F479+F487</f>
        <v>19764.099999999999</v>
      </c>
      <c r="G473" s="65"/>
      <c r="H473" s="90"/>
      <c r="I473" s="90"/>
      <c r="J473" s="90"/>
      <c r="K473" s="90"/>
      <c r="L473" s="90"/>
      <c r="M473" s="90"/>
    </row>
    <row r="474" spans="1:13" s="52" customFormat="1" ht="22.5" x14ac:dyDescent="0.2">
      <c r="A474" s="66" t="s">
        <v>193</v>
      </c>
      <c r="B474" s="73" t="s">
        <v>186</v>
      </c>
      <c r="C474" s="73" t="s">
        <v>188</v>
      </c>
      <c r="D474" s="73" t="s">
        <v>194</v>
      </c>
      <c r="E474" s="78"/>
      <c r="F474" s="138">
        <f>F475</f>
        <v>7852.1</v>
      </c>
      <c r="G474" s="64"/>
      <c r="H474" s="157"/>
      <c r="I474" s="90"/>
      <c r="J474" s="90"/>
      <c r="K474" s="90"/>
      <c r="L474" s="90"/>
      <c r="M474" s="90"/>
    </row>
    <row r="475" spans="1:13" s="52" customFormat="1" x14ac:dyDescent="0.2">
      <c r="A475" s="75" t="s">
        <v>195</v>
      </c>
      <c r="B475" s="73" t="s">
        <v>186</v>
      </c>
      <c r="C475" s="73" t="s">
        <v>188</v>
      </c>
      <c r="D475" s="73" t="s">
        <v>196</v>
      </c>
      <c r="E475" s="78"/>
      <c r="F475" s="138">
        <f>F476</f>
        <v>7852.1</v>
      </c>
      <c r="G475" s="65"/>
      <c r="H475" s="90"/>
      <c r="I475" s="90"/>
      <c r="J475" s="90"/>
      <c r="K475" s="90"/>
      <c r="L475" s="90"/>
      <c r="M475" s="90"/>
    </row>
    <row r="476" spans="1:13" s="52" customFormat="1" ht="23.25" customHeight="1" x14ac:dyDescent="0.2">
      <c r="A476" s="75" t="s">
        <v>197</v>
      </c>
      <c r="B476" s="73" t="s">
        <v>186</v>
      </c>
      <c r="C476" s="73" t="s">
        <v>188</v>
      </c>
      <c r="D476" s="73" t="s">
        <v>196</v>
      </c>
      <c r="E476" s="73" t="s">
        <v>198</v>
      </c>
      <c r="F476" s="131">
        <f>F477</f>
        <v>7852.1</v>
      </c>
      <c r="G476" s="65"/>
      <c r="H476" s="90"/>
      <c r="I476" s="90"/>
      <c r="J476" s="90"/>
      <c r="K476" s="90"/>
      <c r="L476" s="90"/>
      <c r="M476" s="90"/>
    </row>
    <row r="477" spans="1:13" s="52" customFormat="1" ht="31.5" customHeight="1" x14ac:dyDescent="0.2">
      <c r="A477" s="75" t="s">
        <v>199</v>
      </c>
      <c r="B477" s="73" t="s">
        <v>186</v>
      </c>
      <c r="C477" s="73" t="s">
        <v>188</v>
      </c>
      <c r="D477" s="73" t="s">
        <v>196</v>
      </c>
      <c r="E477" s="78">
        <v>310</v>
      </c>
      <c r="F477" s="131">
        <f>F478</f>
        <v>7852.1</v>
      </c>
      <c r="G477" s="65"/>
      <c r="H477" s="90"/>
      <c r="I477" s="90"/>
      <c r="J477" s="90"/>
      <c r="K477" s="90"/>
      <c r="L477" s="90"/>
      <c r="M477" s="90"/>
    </row>
    <row r="478" spans="1:13" s="52" customFormat="1" ht="36" customHeight="1" x14ac:dyDescent="0.2">
      <c r="A478" s="70" t="s">
        <v>572</v>
      </c>
      <c r="B478" s="73" t="s">
        <v>186</v>
      </c>
      <c r="C478" s="73" t="s">
        <v>188</v>
      </c>
      <c r="D478" s="73" t="s">
        <v>196</v>
      </c>
      <c r="E478" s="78">
        <v>313</v>
      </c>
      <c r="F478" s="131">
        <f>'ПР 7 ведом'!G92</f>
        <v>7852.1</v>
      </c>
      <c r="G478" s="65"/>
      <c r="H478" s="90"/>
      <c r="I478" s="90"/>
      <c r="J478" s="90"/>
      <c r="K478" s="90"/>
      <c r="L478" s="90"/>
      <c r="M478" s="90"/>
    </row>
    <row r="479" spans="1:13" s="52" customFormat="1" ht="24.75" customHeight="1" x14ac:dyDescent="0.2">
      <c r="A479" s="66" t="s">
        <v>204</v>
      </c>
      <c r="B479" s="68">
        <v>10</v>
      </c>
      <c r="C479" s="67" t="s">
        <v>188</v>
      </c>
      <c r="D479" s="68" t="s">
        <v>205</v>
      </c>
      <c r="E479" s="68" t="s">
        <v>184</v>
      </c>
      <c r="F479" s="131">
        <f>F480</f>
        <v>11633.400000000001</v>
      </c>
      <c r="G479" s="65"/>
      <c r="H479" s="90"/>
      <c r="I479" s="90"/>
      <c r="J479" s="90"/>
      <c r="K479" s="90"/>
      <c r="L479" s="90"/>
      <c r="M479" s="90"/>
    </row>
    <row r="480" spans="1:13" s="52" customFormat="1" ht="22.5" x14ac:dyDescent="0.2">
      <c r="A480" s="66" t="s">
        <v>73</v>
      </c>
      <c r="B480" s="68" t="s">
        <v>186</v>
      </c>
      <c r="C480" s="67" t="s">
        <v>188</v>
      </c>
      <c r="D480" s="68" t="s">
        <v>206</v>
      </c>
      <c r="E480" s="68"/>
      <c r="F480" s="131">
        <f>F481+F484</f>
        <v>11633.400000000001</v>
      </c>
      <c r="G480" s="64"/>
      <c r="H480" s="148"/>
      <c r="I480" s="90"/>
      <c r="J480" s="90"/>
      <c r="K480" s="90"/>
      <c r="L480" s="90"/>
      <c r="M480" s="90"/>
    </row>
    <row r="481" spans="1:13" s="52" customFormat="1" ht="38.25" customHeight="1" x14ac:dyDescent="0.2">
      <c r="A481" s="83" t="s">
        <v>650</v>
      </c>
      <c r="B481" s="68" t="s">
        <v>186</v>
      </c>
      <c r="C481" s="67" t="s">
        <v>188</v>
      </c>
      <c r="D481" s="68" t="s">
        <v>206</v>
      </c>
      <c r="E481" s="68" t="s">
        <v>150</v>
      </c>
      <c r="F481" s="139">
        <f>F482</f>
        <v>166.7</v>
      </c>
      <c r="G481" s="64"/>
      <c r="H481" s="90"/>
      <c r="I481" s="90"/>
      <c r="J481" s="90"/>
      <c r="K481" s="90"/>
      <c r="L481" s="90"/>
      <c r="M481" s="90"/>
    </row>
    <row r="482" spans="1:13" s="52" customFormat="1" ht="38.25" customHeight="1" x14ac:dyDescent="0.2">
      <c r="A482" s="83" t="s">
        <v>151</v>
      </c>
      <c r="B482" s="68" t="s">
        <v>186</v>
      </c>
      <c r="C482" s="67" t="s">
        <v>188</v>
      </c>
      <c r="D482" s="68" t="s">
        <v>206</v>
      </c>
      <c r="E482" s="68" t="s">
        <v>152</v>
      </c>
      <c r="F482" s="139">
        <f>F483</f>
        <v>166.7</v>
      </c>
      <c r="G482" s="64"/>
      <c r="H482" s="90"/>
      <c r="I482" s="90"/>
      <c r="J482" s="90"/>
      <c r="K482" s="90"/>
      <c r="L482" s="90"/>
      <c r="M482" s="90"/>
    </row>
    <row r="483" spans="1:13" s="52" customFormat="1" ht="11.25" customHeight="1" x14ac:dyDescent="0.2">
      <c r="A483" s="115" t="s">
        <v>153</v>
      </c>
      <c r="B483" s="68" t="s">
        <v>186</v>
      </c>
      <c r="C483" s="67" t="s">
        <v>188</v>
      </c>
      <c r="D483" s="68" t="s">
        <v>206</v>
      </c>
      <c r="E483" s="68" t="s">
        <v>154</v>
      </c>
      <c r="F483" s="139">
        <f>'ПР 7 ведом'!G97</f>
        <v>166.7</v>
      </c>
      <c r="G483" s="65"/>
      <c r="H483" s="90"/>
      <c r="I483" s="90"/>
      <c r="J483" s="90"/>
      <c r="K483" s="90"/>
      <c r="L483" s="90"/>
      <c r="M483" s="90"/>
    </row>
    <row r="484" spans="1:13" s="52" customFormat="1" ht="24.75" customHeight="1" x14ac:dyDescent="0.2">
      <c r="A484" s="75" t="s">
        <v>197</v>
      </c>
      <c r="B484" s="68" t="s">
        <v>186</v>
      </c>
      <c r="C484" s="67" t="s">
        <v>188</v>
      </c>
      <c r="D484" s="68" t="s">
        <v>206</v>
      </c>
      <c r="E484" s="68">
        <v>300</v>
      </c>
      <c r="F484" s="139">
        <f>F485</f>
        <v>11466.7</v>
      </c>
      <c r="G484" s="65"/>
      <c r="H484" s="90"/>
      <c r="I484" s="90"/>
      <c r="J484" s="90"/>
      <c r="K484" s="90"/>
      <c r="L484" s="90"/>
      <c r="M484" s="90"/>
    </row>
    <row r="485" spans="1:13" s="52" customFormat="1" ht="32.25" customHeight="1" x14ac:dyDescent="0.2">
      <c r="A485" s="75" t="s">
        <v>199</v>
      </c>
      <c r="B485" s="68" t="s">
        <v>186</v>
      </c>
      <c r="C485" s="67" t="s">
        <v>188</v>
      </c>
      <c r="D485" s="68" t="s">
        <v>206</v>
      </c>
      <c r="E485" s="68">
        <v>310</v>
      </c>
      <c r="F485" s="139">
        <f>F486</f>
        <v>11466.7</v>
      </c>
      <c r="G485" s="65"/>
      <c r="H485" s="90"/>
      <c r="I485" s="90"/>
      <c r="J485" s="90"/>
      <c r="K485" s="90"/>
      <c r="L485" s="90"/>
      <c r="M485" s="90"/>
    </row>
    <row r="486" spans="1:13" s="52" customFormat="1" ht="13.5" customHeight="1" x14ac:dyDescent="0.2">
      <c r="A486" s="70" t="s">
        <v>200</v>
      </c>
      <c r="B486" s="68">
        <v>10</v>
      </c>
      <c r="C486" s="67" t="s">
        <v>188</v>
      </c>
      <c r="D486" s="68" t="s">
        <v>206</v>
      </c>
      <c r="E486" s="68">
        <v>313</v>
      </c>
      <c r="F486" s="139">
        <f>'ПР 7 ведом'!G100</f>
        <v>11466.7</v>
      </c>
      <c r="G486" s="65"/>
      <c r="H486" s="90"/>
      <c r="I486" s="90"/>
      <c r="J486" s="90"/>
      <c r="K486" s="90"/>
      <c r="L486" s="90"/>
      <c r="M486" s="90"/>
    </row>
    <row r="487" spans="1:13" s="52" customFormat="1" ht="37.5" customHeight="1" x14ac:dyDescent="0.2">
      <c r="A487" s="75" t="s">
        <v>207</v>
      </c>
      <c r="B487" s="73" t="s">
        <v>186</v>
      </c>
      <c r="C487" s="73" t="s">
        <v>188</v>
      </c>
      <c r="D487" s="73" t="s">
        <v>208</v>
      </c>
      <c r="E487" s="73"/>
      <c r="F487" s="139">
        <f>F488</f>
        <v>278.60000000000002</v>
      </c>
      <c r="G487" s="65"/>
      <c r="H487" s="90"/>
      <c r="I487" s="90"/>
      <c r="J487" s="90"/>
      <c r="K487" s="90"/>
      <c r="L487" s="90"/>
      <c r="M487" s="90"/>
    </row>
    <row r="488" spans="1:13" s="52" customFormat="1" ht="12.75" customHeight="1" x14ac:dyDescent="0.2">
      <c r="A488" s="75" t="s">
        <v>662</v>
      </c>
      <c r="B488" s="73" t="s">
        <v>186</v>
      </c>
      <c r="C488" s="73" t="s">
        <v>188</v>
      </c>
      <c r="D488" s="73" t="s">
        <v>209</v>
      </c>
      <c r="E488" s="73"/>
      <c r="F488" s="131">
        <f>F489</f>
        <v>278.60000000000002</v>
      </c>
      <c r="G488" s="65"/>
      <c r="H488" s="90"/>
      <c r="I488" s="90"/>
      <c r="J488" s="90"/>
      <c r="K488" s="90"/>
      <c r="L488" s="90"/>
      <c r="M488" s="90"/>
    </row>
    <row r="489" spans="1:13" s="52" customFormat="1" ht="35.25" customHeight="1" x14ac:dyDescent="0.2">
      <c r="A489" s="75" t="s">
        <v>197</v>
      </c>
      <c r="B489" s="73" t="s">
        <v>186</v>
      </c>
      <c r="C489" s="73" t="s">
        <v>188</v>
      </c>
      <c r="D489" s="73" t="s">
        <v>209</v>
      </c>
      <c r="E489" s="73" t="s">
        <v>198</v>
      </c>
      <c r="F489" s="139">
        <f>F490</f>
        <v>278.60000000000002</v>
      </c>
      <c r="G489" s="65"/>
      <c r="H489" s="90"/>
      <c r="I489" s="90"/>
      <c r="J489" s="90"/>
      <c r="K489" s="90"/>
      <c r="L489" s="90"/>
      <c r="M489" s="90"/>
    </row>
    <row r="490" spans="1:13" s="52" customFormat="1" ht="31.5" customHeight="1" x14ac:dyDescent="0.2">
      <c r="A490" s="75" t="s">
        <v>199</v>
      </c>
      <c r="B490" s="73" t="s">
        <v>186</v>
      </c>
      <c r="C490" s="73" t="s">
        <v>188</v>
      </c>
      <c r="D490" s="73" t="s">
        <v>209</v>
      </c>
      <c r="E490" s="78">
        <v>310</v>
      </c>
      <c r="F490" s="139">
        <f>F491</f>
        <v>278.60000000000002</v>
      </c>
      <c r="G490" s="65"/>
      <c r="H490" s="90"/>
      <c r="I490" s="90"/>
      <c r="J490" s="90"/>
      <c r="K490" s="90"/>
      <c r="L490" s="90"/>
      <c r="M490" s="90"/>
    </row>
    <row r="491" spans="1:13" s="79" customFormat="1" ht="31.5" customHeight="1" x14ac:dyDescent="0.2">
      <c r="A491" s="70" t="s">
        <v>200</v>
      </c>
      <c r="B491" s="73" t="s">
        <v>186</v>
      </c>
      <c r="C491" s="73" t="s">
        <v>188</v>
      </c>
      <c r="D491" s="73" t="s">
        <v>209</v>
      </c>
      <c r="E491" s="78">
        <v>313</v>
      </c>
      <c r="F491" s="139">
        <f>'ПР 7 ведом'!G105</f>
        <v>278.60000000000002</v>
      </c>
      <c r="G491" s="294"/>
      <c r="H491" s="214"/>
      <c r="I491" s="151"/>
      <c r="J491" s="151"/>
      <c r="K491" s="151"/>
      <c r="L491" s="151"/>
      <c r="M491" s="151"/>
    </row>
    <row r="492" spans="1:13" s="79" customFormat="1" ht="21.75" customHeight="1" x14ac:dyDescent="0.2">
      <c r="A492" s="80" t="s">
        <v>210</v>
      </c>
      <c r="B492" s="68">
        <v>10</v>
      </c>
      <c r="C492" s="67" t="s">
        <v>188</v>
      </c>
      <c r="D492" s="68" t="s">
        <v>211</v>
      </c>
      <c r="E492" s="68"/>
      <c r="F492" s="131">
        <f>F493+F501+F506</f>
        <v>9286.7000000000007</v>
      </c>
      <c r="G492" s="294"/>
      <c r="H492" s="151"/>
      <c r="I492" s="151"/>
      <c r="J492" s="151"/>
      <c r="K492" s="151"/>
      <c r="L492" s="151"/>
      <c r="M492" s="151"/>
    </row>
    <row r="493" spans="1:13" s="79" customFormat="1" ht="20.25" customHeight="1" x14ac:dyDescent="0.2">
      <c r="A493" s="75" t="s">
        <v>212</v>
      </c>
      <c r="B493" s="73" t="s">
        <v>186</v>
      </c>
      <c r="C493" s="73" t="s">
        <v>188</v>
      </c>
      <c r="D493" s="73" t="s">
        <v>213</v>
      </c>
      <c r="E493" s="73"/>
      <c r="F493" s="131">
        <f>F494</f>
        <v>5090.3</v>
      </c>
      <c r="G493" s="294"/>
      <c r="H493" s="151"/>
      <c r="I493" s="151"/>
      <c r="J493" s="151"/>
      <c r="K493" s="151"/>
      <c r="L493" s="151"/>
      <c r="M493" s="151"/>
    </row>
    <row r="494" spans="1:13" s="79" customFormat="1" ht="21" customHeight="1" x14ac:dyDescent="0.2">
      <c r="A494" s="75" t="s">
        <v>78</v>
      </c>
      <c r="B494" s="73" t="s">
        <v>186</v>
      </c>
      <c r="C494" s="73" t="s">
        <v>188</v>
      </c>
      <c r="D494" s="73" t="s">
        <v>214</v>
      </c>
      <c r="E494" s="73"/>
      <c r="F494" s="131">
        <f>F495+F498</f>
        <v>5090.3</v>
      </c>
      <c r="G494" s="294"/>
      <c r="H494" s="151"/>
      <c r="I494" s="151"/>
      <c r="J494" s="151"/>
      <c r="K494" s="151"/>
      <c r="L494" s="151"/>
      <c r="M494" s="151"/>
    </row>
    <row r="495" spans="1:13" s="79" customFormat="1" ht="21" customHeight="1" x14ac:dyDescent="0.2">
      <c r="A495" s="83" t="s">
        <v>650</v>
      </c>
      <c r="B495" s="68" t="s">
        <v>186</v>
      </c>
      <c r="C495" s="67" t="s">
        <v>188</v>
      </c>
      <c r="D495" s="73" t="s">
        <v>214</v>
      </c>
      <c r="E495" s="68" t="s">
        <v>150</v>
      </c>
      <c r="F495" s="131">
        <f>F496</f>
        <v>95</v>
      </c>
      <c r="G495" s="294"/>
      <c r="H495" s="151"/>
      <c r="I495" s="151"/>
      <c r="J495" s="151"/>
      <c r="K495" s="151"/>
      <c r="L495" s="151"/>
      <c r="M495" s="151"/>
    </row>
    <row r="496" spans="1:13" s="79" customFormat="1" ht="21" customHeight="1" x14ac:dyDescent="0.2">
      <c r="A496" s="83" t="s">
        <v>151</v>
      </c>
      <c r="B496" s="68" t="s">
        <v>186</v>
      </c>
      <c r="C496" s="67" t="s">
        <v>188</v>
      </c>
      <c r="D496" s="73" t="s">
        <v>214</v>
      </c>
      <c r="E496" s="68" t="s">
        <v>152</v>
      </c>
      <c r="F496" s="131">
        <f>F497</f>
        <v>95</v>
      </c>
      <c r="G496" s="294"/>
      <c r="H496" s="151"/>
      <c r="I496" s="151"/>
      <c r="J496" s="151"/>
      <c r="K496" s="151"/>
      <c r="L496" s="151"/>
      <c r="M496" s="151"/>
    </row>
    <row r="497" spans="1:13" s="79" customFormat="1" ht="22.5" x14ac:dyDescent="0.2">
      <c r="A497" s="115" t="s">
        <v>153</v>
      </c>
      <c r="B497" s="68" t="s">
        <v>186</v>
      </c>
      <c r="C497" s="67" t="s">
        <v>188</v>
      </c>
      <c r="D497" s="73" t="s">
        <v>214</v>
      </c>
      <c r="E497" s="68" t="s">
        <v>154</v>
      </c>
      <c r="F497" s="131">
        <f>'ПР 7 ведом'!G111</f>
        <v>95</v>
      </c>
      <c r="G497" s="294"/>
      <c r="H497" s="151"/>
      <c r="I497" s="151"/>
      <c r="J497" s="151"/>
      <c r="K497" s="151"/>
      <c r="L497" s="151"/>
      <c r="M497" s="151"/>
    </row>
    <row r="498" spans="1:13" s="283" customFormat="1" x14ac:dyDescent="0.2">
      <c r="A498" s="75" t="s">
        <v>197</v>
      </c>
      <c r="B498" s="73" t="s">
        <v>186</v>
      </c>
      <c r="C498" s="73" t="s">
        <v>188</v>
      </c>
      <c r="D498" s="73" t="s">
        <v>214</v>
      </c>
      <c r="E498" s="73" t="s">
        <v>198</v>
      </c>
      <c r="F498" s="131">
        <f>F499</f>
        <v>4995.3</v>
      </c>
      <c r="G498" s="65"/>
      <c r="H498" s="282"/>
      <c r="I498" s="282"/>
      <c r="J498" s="282"/>
      <c r="K498" s="282"/>
      <c r="L498" s="282"/>
      <c r="M498" s="282"/>
    </row>
    <row r="499" spans="1:13" s="79" customFormat="1" ht="15.75" customHeight="1" x14ac:dyDescent="0.2">
      <c r="A499" s="75" t="s">
        <v>199</v>
      </c>
      <c r="B499" s="73" t="s">
        <v>186</v>
      </c>
      <c r="C499" s="73" t="s">
        <v>188</v>
      </c>
      <c r="D499" s="73" t="s">
        <v>214</v>
      </c>
      <c r="E499" s="78">
        <v>310</v>
      </c>
      <c r="F499" s="131">
        <f>F500</f>
        <v>4995.3</v>
      </c>
      <c r="G499" s="294"/>
      <c r="H499" s="151"/>
      <c r="I499" s="151"/>
      <c r="J499" s="151"/>
      <c r="K499" s="151"/>
      <c r="L499" s="151"/>
      <c r="M499" s="151"/>
    </row>
    <row r="500" spans="1:13" s="79" customFormat="1" ht="15.75" customHeight="1" x14ac:dyDescent="0.2">
      <c r="A500" s="70" t="s">
        <v>200</v>
      </c>
      <c r="B500" s="73" t="s">
        <v>186</v>
      </c>
      <c r="C500" s="73" t="s">
        <v>188</v>
      </c>
      <c r="D500" s="73" t="s">
        <v>214</v>
      </c>
      <c r="E500" s="78">
        <v>313</v>
      </c>
      <c r="F500" s="139">
        <f>'ПР 7 ведом'!G114</f>
        <v>4995.3</v>
      </c>
      <c r="G500" s="294"/>
      <c r="H500" s="151"/>
      <c r="I500" s="151"/>
      <c r="J500" s="151"/>
      <c r="K500" s="151"/>
      <c r="L500" s="151"/>
      <c r="M500" s="151"/>
    </row>
    <row r="501" spans="1:13" s="79" customFormat="1" ht="23.25" customHeight="1" x14ac:dyDescent="0.2">
      <c r="A501" s="75" t="s">
        <v>215</v>
      </c>
      <c r="B501" s="73" t="s">
        <v>186</v>
      </c>
      <c r="C501" s="73" t="s">
        <v>188</v>
      </c>
      <c r="D501" s="73" t="s">
        <v>216</v>
      </c>
      <c r="E501" s="73"/>
      <c r="F501" s="139">
        <f>F502</f>
        <v>35.4</v>
      </c>
      <c r="G501" s="294"/>
      <c r="H501" s="151"/>
      <c r="I501" s="151"/>
      <c r="J501" s="151"/>
      <c r="K501" s="151"/>
      <c r="L501" s="151"/>
      <c r="M501" s="151"/>
    </row>
    <row r="502" spans="1:13" s="52" customFormat="1" ht="23.25" customHeight="1" x14ac:dyDescent="0.2">
      <c r="A502" s="75" t="s">
        <v>71</v>
      </c>
      <c r="B502" s="73" t="s">
        <v>186</v>
      </c>
      <c r="C502" s="73" t="s">
        <v>188</v>
      </c>
      <c r="D502" s="73" t="s">
        <v>217</v>
      </c>
      <c r="E502" s="73"/>
      <c r="F502" s="139">
        <f>F503</f>
        <v>35.4</v>
      </c>
      <c r="G502" s="65"/>
      <c r="H502" s="90"/>
      <c r="I502" s="90"/>
      <c r="J502" s="90"/>
      <c r="K502" s="90"/>
      <c r="L502" s="90"/>
      <c r="M502" s="90"/>
    </row>
    <row r="503" spans="1:13" s="52" customFormat="1" x14ac:dyDescent="0.2">
      <c r="A503" s="75" t="s">
        <v>197</v>
      </c>
      <c r="B503" s="73" t="s">
        <v>186</v>
      </c>
      <c r="C503" s="73" t="s">
        <v>188</v>
      </c>
      <c r="D503" s="73" t="s">
        <v>217</v>
      </c>
      <c r="E503" s="73" t="s">
        <v>198</v>
      </c>
      <c r="F503" s="139">
        <f>F504</f>
        <v>35.4</v>
      </c>
      <c r="G503" s="65"/>
      <c r="H503" s="90"/>
      <c r="I503" s="90"/>
      <c r="J503" s="90"/>
      <c r="K503" s="90"/>
      <c r="L503" s="90"/>
      <c r="M503" s="90"/>
    </row>
    <row r="504" spans="1:13" s="52" customFormat="1" x14ac:dyDescent="0.2">
      <c r="A504" s="75" t="s">
        <v>199</v>
      </c>
      <c r="B504" s="73" t="s">
        <v>186</v>
      </c>
      <c r="C504" s="73" t="s">
        <v>188</v>
      </c>
      <c r="D504" s="73" t="s">
        <v>217</v>
      </c>
      <c r="E504" s="78">
        <v>310</v>
      </c>
      <c r="F504" s="139">
        <f>F505</f>
        <v>35.4</v>
      </c>
      <c r="G504" s="65"/>
      <c r="H504" s="90"/>
      <c r="I504" s="90"/>
      <c r="J504" s="90"/>
      <c r="K504" s="90"/>
      <c r="L504" s="90"/>
      <c r="M504" s="90"/>
    </row>
    <row r="505" spans="1:13" s="52" customFormat="1" ht="22.5" x14ac:dyDescent="0.2">
      <c r="A505" s="70" t="s">
        <v>200</v>
      </c>
      <c r="B505" s="73" t="s">
        <v>186</v>
      </c>
      <c r="C505" s="73" t="s">
        <v>188</v>
      </c>
      <c r="D505" s="73" t="s">
        <v>217</v>
      </c>
      <c r="E505" s="78">
        <v>313</v>
      </c>
      <c r="F505" s="131">
        <f>'ПР 7 ведом'!G119</f>
        <v>35.4</v>
      </c>
      <c r="G505" s="65"/>
      <c r="H505" s="90"/>
      <c r="I505" s="90"/>
      <c r="J505" s="90"/>
      <c r="K505" s="90"/>
      <c r="L505" s="90"/>
      <c r="M505" s="90"/>
    </row>
    <row r="506" spans="1:13" s="52" customFormat="1" ht="22.5" x14ac:dyDescent="0.2">
      <c r="A506" s="66" t="s">
        <v>218</v>
      </c>
      <c r="B506" s="73" t="s">
        <v>186</v>
      </c>
      <c r="C506" s="73" t="s">
        <v>188</v>
      </c>
      <c r="D506" s="73" t="s">
        <v>219</v>
      </c>
      <c r="E506" s="78"/>
      <c r="F506" s="139">
        <f>F507</f>
        <v>4161</v>
      </c>
      <c r="G506" s="65"/>
      <c r="H506" s="90"/>
      <c r="I506" s="90"/>
      <c r="J506" s="90"/>
      <c r="K506" s="90"/>
      <c r="L506" s="90"/>
      <c r="M506" s="90"/>
    </row>
    <row r="507" spans="1:13" s="52" customFormat="1" ht="22.5" x14ac:dyDescent="0.2">
      <c r="A507" s="82" t="s">
        <v>70</v>
      </c>
      <c r="B507" s="73" t="s">
        <v>186</v>
      </c>
      <c r="C507" s="73" t="s">
        <v>188</v>
      </c>
      <c r="D507" s="68" t="s">
        <v>220</v>
      </c>
      <c r="E507" s="68"/>
      <c r="F507" s="139">
        <f>F508+F511</f>
        <v>4161</v>
      </c>
      <c r="G507" s="65"/>
      <c r="H507" s="90"/>
      <c r="I507" s="90"/>
      <c r="J507" s="90"/>
      <c r="K507" s="90"/>
      <c r="L507" s="90"/>
      <c r="M507" s="90"/>
    </row>
    <row r="508" spans="1:13" s="52" customFormat="1" ht="22.5" x14ac:dyDescent="0.2">
      <c r="A508" s="83" t="s">
        <v>650</v>
      </c>
      <c r="B508" s="68" t="s">
        <v>186</v>
      </c>
      <c r="C508" s="67" t="s">
        <v>188</v>
      </c>
      <c r="D508" s="68" t="s">
        <v>220</v>
      </c>
      <c r="E508" s="68" t="s">
        <v>150</v>
      </c>
      <c r="F508" s="131">
        <f>F509</f>
        <v>83</v>
      </c>
      <c r="G508" s="65"/>
      <c r="H508" s="90"/>
      <c r="I508" s="90"/>
      <c r="J508" s="90"/>
      <c r="K508" s="90"/>
      <c r="L508" s="90"/>
      <c r="M508" s="90"/>
    </row>
    <row r="509" spans="1:13" s="52" customFormat="1" ht="20.25" customHeight="1" x14ac:dyDescent="0.2">
      <c r="A509" s="83" t="s">
        <v>151</v>
      </c>
      <c r="B509" s="68" t="s">
        <v>186</v>
      </c>
      <c r="C509" s="67" t="s">
        <v>188</v>
      </c>
      <c r="D509" s="68" t="s">
        <v>220</v>
      </c>
      <c r="E509" s="68" t="s">
        <v>152</v>
      </c>
      <c r="F509" s="131">
        <f>F510</f>
        <v>83</v>
      </c>
      <c r="G509" s="65"/>
      <c r="H509" s="90"/>
      <c r="I509" s="90"/>
      <c r="J509" s="90"/>
      <c r="K509" s="90"/>
      <c r="L509" s="90"/>
      <c r="M509" s="90"/>
    </row>
    <row r="510" spans="1:13" s="79" customFormat="1" ht="20.25" customHeight="1" x14ac:dyDescent="0.2">
      <c r="A510" s="115" t="s">
        <v>153</v>
      </c>
      <c r="B510" s="68" t="s">
        <v>186</v>
      </c>
      <c r="C510" s="67" t="s">
        <v>188</v>
      </c>
      <c r="D510" s="68" t="s">
        <v>220</v>
      </c>
      <c r="E510" s="68" t="s">
        <v>154</v>
      </c>
      <c r="F510" s="131">
        <f>'ПР 7 ведом'!G124</f>
        <v>83</v>
      </c>
      <c r="G510" s="294"/>
      <c r="H510" s="151"/>
      <c r="I510" s="151"/>
      <c r="J510" s="151"/>
      <c r="K510" s="151"/>
      <c r="L510" s="151"/>
      <c r="M510" s="151"/>
    </row>
    <row r="511" spans="1:13" s="79" customFormat="1" ht="20.25" customHeight="1" x14ac:dyDescent="0.2">
      <c r="A511" s="75" t="s">
        <v>197</v>
      </c>
      <c r="B511" s="73" t="s">
        <v>186</v>
      </c>
      <c r="C511" s="73" t="s">
        <v>188</v>
      </c>
      <c r="D511" s="68" t="s">
        <v>220</v>
      </c>
      <c r="E511" s="73" t="s">
        <v>198</v>
      </c>
      <c r="F511" s="139">
        <f>F512</f>
        <v>4078</v>
      </c>
      <c r="G511" s="294"/>
      <c r="H511" s="151"/>
      <c r="I511" s="151"/>
      <c r="J511" s="151"/>
      <c r="K511" s="151"/>
      <c r="L511" s="151"/>
      <c r="M511" s="151"/>
    </row>
    <row r="512" spans="1:13" s="79" customFormat="1" ht="15" customHeight="1" x14ac:dyDescent="0.2">
      <c r="A512" s="75" t="s">
        <v>199</v>
      </c>
      <c r="B512" s="73" t="s">
        <v>186</v>
      </c>
      <c r="C512" s="73" t="s">
        <v>188</v>
      </c>
      <c r="D512" s="68" t="s">
        <v>220</v>
      </c>
      <c r="E512" s="78">
        <v>310</v>
      </c>
      <c r="F512" s="139">
        <f>F513</f>
        <v>4078</v>
      </c>
      <c r="G512" s="294"/>
      <c r="H512" s="151"/>
      <c r="I512" s="151"/>
      <c r="J512" s="151"/>
      <c r="K512" s="151"/>
      <c r="L512" s="151"/>
      <c r="M512" s="151"/>
    </row>
    <row r="513" spans="1:13" s="79" customFormat="1" ht="19.5" customHeight="1" x14ac:dyDescent="0.2">
      <c r="A513" s="70" t="s">
        <v>200</v>
      </c>
      <c r="B513" s="73" t="s">
        <v>186</v>
      </c>
      <c r="C513" s="73" t="s">
        <v>188</v>
      </c>
      <c r="D513" s="68" t="s">
        <v>220</v>
      </c>
      <c r="E513" s="78">
        <v>313</v>
      </c>
      <c r="F513" s="139">
        <f>'ПР 7 ведом'!G127</f>
        <v>4078</v>
      </c>
      <c r="G513" s="294"/>
      <c r="H513" s="151"/>
      <c r="I513" s="151"/>
      <c r="J513" s="151"/>
      <c r="K513" s="151"/>
      <c r="L513" s="151"/>
      <c r="M513" s="151"/>
    </row>
    <row r="514" spans="1:13" s="79" customFormat="1" ht="19.5" customHeight="1" x14ac:dyDescent="0.2">
      <c r="A514" s="100" t="s">
        <v>226</v>
      </c>
      <c r="B514" s="102">
        <v>10</v>
      </c>
      <c r="C514" s="104" t="s">
        <v>188</v>
      </c>
      <c r="D514" s="102" t="s">
        <v>227</v>
      </c>
      <c r="E514" s="102"/>
      <c r="F514" s="139">
        <f>F515</f>
        <v>340</v>
      </c>
      <c r="G514" s="294"/>
      <c r="H514" s="151"/>
      <c r="I514" s="151"/>
      <c r="J514" s="151"/>
      <c r="K514" s="151"/>
      <c r="L514" s="151"/>
      <c r="M514" s="151"/>
    </row>
    <row r="515" spans="1:13" s="52" customFormat="1" ht="32.25" customHeight="1" x14ac:dyDescent="0.2">
      <c r="A515" s="83" t="s">
        <v>237</v>
      </c>
      <c r="B515" s="84">
        <v>10</v>
      </c>
      <c r="C515" s="87" t="s">
        <v>188</v>
      </c>
      <c r="D515" s="84" t="s">
        <v>238</v>
      </c>
      <c r="E515" s="84"/>
      <c r="F515" s="139">
        <f>F516+F519</f>
        <v>340</v>
      </c>
      <c r="G515" s="65"/>
      <c r="H515" s="148"/>
      <c r="I515" s="90"/>
      <c r="J515" s="90"/>
      <c r="K515" s="90"/>
      <c r="L515" s="90"/>
      <c r="M515" s="90"/>
    </row>
    <row r="516" spans="1:13" s="79" customFormat="1" ht="19.5" customHeight="1" x14ac:dyDescent="0.2">
      <c r="A516" s="83" t="s">
        <v>650</v>
      </c>
      <c r="B516" s="84">
        <v>10</v>
      </c>
      <c r="C516" s="87" t="s">
        <v>188</v>
      </c>
      <c r="D516" s="84" t="s">
        <v>238</v>
      </c>
      <c r="E516" s="84" t="s">
        <v>150</v>
      </c>
      <c r="F516" s="139">
        <f>F517</f>
        <v>302</v>
      </c>
      <c r="G516" s="294"/>
      <c r="H516" s="151"/>
      <c r="I516" s="151"/>
      <c r="J516" s="151"/>
      <c r="K516" s="151"/>
      <c r="L516" s="151"/>
      <c r="M516" s="151"/>
    </row>
    <row r="517" spans="1:13" s="79" customFormat="1" ht="19.5" customHeight="1" x14ac:dyDescent="0.2">
      <c r="A517" s="83" t="s">
        <v>151</v>
      </c>
      <c r="B517" s="84">
        <v>10</v>
      </c>
      <c r="C517" s="87" t="s">
        <v>188</v>
      </c>
      <c r="D517" s="84" t="s">
        <v>238</v>
      </c>
      <c r="E517" s="84" t="s">
        <v>152</v>
      </c>
      <c r="F517" s="139">
        <f>F518</f>
        <v>302</v>
      </c>
      <c r="G517" s="294"/>
      <c r="H517" s="151"/>
      <c r="I517" s="151"/>
      <c r="J517" s="151"/>
      <c r="K517" s="151"/>
      <c r="L517" s="151"/>
      <c r="M517" s="151"/>
    </row>
    <row r="518" spans="1:13" s="52" customFormat="1" ht="19.5" customHeight="1" x14ac:dyDescent="0.2">
      <c r="A518" s="115" t="s">
        <v>153</v>
      </c>
      <c r="B518" s="84">
        <v>10</v>
      </c>
      <c r="C518" s="87" t="s">
        <v>188</v>
      </c>
      <c r="D518" s="84" t="s">
        <v>238</v>
      </c>
      <c r="E518" s="84" t="s">
        <v>154</v>
      </c>
      <c r="F518" s="139">
        <f>'ПР 7 ведом'!G593</f>
        <v>302</v>
      </c>
      <c r="G518" s="65"/>
      <c r="H518" s="90"/>
      <c r="I518" s="90"/>
      <c r="J518" s="90"/>
      <c r="K518" s="90"/>
      <c r="L518" s="90"/>
      <c r="M518" s="90"/>
    </row>
    <row r="519" spans="1:13" s="52" customFormat="1" ht="19.5" customHeight="1" x14ac:dyDescent="0.2">
      <c r="A519" s="75" t="s">
        <v>197</v>
      </c>
      <c r="B519" s="84">
        <v>10</v>
      </c>
      <c r="C519" s="87" t="s">
        <v>188</v>
      </c>
      <c r="D519" s="84" t="s">
        <v>238</v>
      </c>
      <c r="E519" s="84">
        <v>300</v>
      </c>
      <c r="F519" s="139">
        <f>F520+F522</f>
        <v>38</v>
      </c>
      <c r="G519" s="65"/>
      <c r="H519" s="90"/>
      <c r="I519" s="90"/>
      <c r="J519" s="90"/>
      <c r="K519" s="90"/>
      <c r="L519" s="90"/>
      <c r="M519" s="90"/>
    </row>
    <row r="520" spans="1:13" s="52" customFormat="1" ht="18.75" customHeight="1" x14ac:dyDescent="0.2">
      <c r="A520" s="83" t="s">
        <v>572</v>
      </c>
      <c r="B520" s="84">
        <v>10</v>
      </c>
      <c r="C520" s="87" t="s">
        <v>188</v>
      </c>
      <c r="D520" s="84" t="s">
        <v>238</v>
      </c>
      <c r="E520" s="84">
        <v>320</v>
      </c>
      <c r="F520" s="131">
        <f>F521</f>
        <v>30</v>
      </c>
      <c r="G520" s="65"/>
      <c r="H520" s="90"/>
      <c r="I520" s="90"/>
      <c r="J520" s="90"/>
      <c r="K520" s="90"/>
      <c r="L520" s="90"/>
      <c r="M520" s="90"/>
    </row>
    <row r="521" spans="1:13" s="79" customFormat="1" ht="18.75" customHeight="1" x14ac:dyDescent="0.2">
      <c r="A521" s="115" t="s">
        <v>651</v>
      </c>
      <c r="B521" s="84">
        <v>10</v>
      </c>
      <c r="C521" s="87" t="s">
        <v>188</v>
      </c>
      <c r="D521" s="84" t="s">
        <v>238</v>
      </c>
      <c r="E521" s="84">
        <v>321</v>
      </c>
      <c r="F521" s="131">
        <f>'ПР 7 ведом'!G596</f>
        <v>30</v>
      </c>
      <c r="G521" s="294"/>
      <c r="H521" s="151"/>
      <c r="I521" s="151"/>
      <c r="J521" s="151"/>
      <c r="K521" s="151"/>
      <c r="L521" s="151"/>
      <c r="M521" s="151"/>
    </row>
    <row r="522" spans="1:13" s="79" customFormat="1" ht="18.75" customHeight="1" x14ac:dyDescent="0.2">
      <c r="A522" s="115" t="s">
        <v>573</v>
      </c>
      <c r="B522" s="84">
        <v>10</v>
      </c>
      <c r="C522" s="87" t="s">
        <v>188</v>
      </c>
      <c r="D522" s="84" t="s">
        <v>238</v>
      </c>
      <c r="E522" s="84">
        <v>340</v>
      </c>
      <c r="F522" s="131">
        <f>'ПР 7 ведом'!G597</f>
        <v>8</v>
      </c>
      <c r="G522" s="294"/>
      <c r="H522" s="151"/>
      <c r="I522" s="151"/>
      <c r="J522" s="151"/>
      <c r="K522" s="151"/>
      <c r="L522" s="151"/>
      <c r="M522" s="151"/>
    </row>
    <row r="523" spans="1:13" s="79" customFormat="1" ht="21.75" customHeight="1" x14ac:dyDescent="0.2">
      <c r="A523" s="117" t="s">
        <v>465</v>
      </c>
      <c r="B523" s="102">
        <v>10</v>
      </c>
      <c r="C523" s="104" t="s">
        <v>188</v>
      </c>
      <c r="D523" s="102" t="s">
        <v>466</v>
      </c>
      <c r="E523" s="102"/>
      <c r="F523" s="143">
        <f>F524</f>
        <v>1000</v>
      </c>
      <c r="G523" s="294">
        <f>F523+F514</f>
        <v>1340</v>
      </c>
      <c r="H523" s="151"/>
      <c r="I523" s="151"/>
      <c r="J523" s="151"/>
      <c r="K523" s="151"/>
      <c r="L523" s="151"/>
      <c r="M523" s="151"/>
    </row>
    <row r="524" spans="1:13" s="81" customFormat="1" ht="37.5" customHeight="1" x14ac:dyDescent="0.2">
      <c r="A524" s="117" t="s">
        <v>467</v>
      </c>
      <c r="B524" s="102">
        <v>10</v>
      </c>
      <c r="C524" s="104" t="s">
        <v>188</v>
      </c>
      <c r="D524" s="102" t="s">
        <v>468</v>
      </c>
      <c r="E524" s="102"/>
      <c r="F524" s="139">
        <f>F525</f>
        <v>1000</v>
      </c>
      <c r="G524" s="294"/>
      <c r="H524" s="152"/>
      <c r="I524" s="152"/>
      <c r="J524" s="152"/>
      <c r="K524" s="152"/>
      <c r="L524" s="152"/>
      <c r="M524" s="152"/>
    </row>
    <row r="525" spans="1:13" s="81" customFormat="1" ht="33.75" customHeight="1" x14ac:dyDescent="0.2">
      <c r="A525" s="75" t="s">
        <v>197</v>
      </c>
      <c r="B525" s="84">
        <v>10</v>
      </c>
      <c r="C525" s="87" t="s">
        <v>188</v>
      </c>
      <c r="D525" s="84" t="s">
        <v>468</v>
      </c>
      <c r="E525" s="84">
        <v>300</v>
      </c>
      <c r="F525" s="139">
        <f>F526</f>
        <v>1000</v>
      </c>
      <c r="G525" s="294"/>
      <c r="H525" s="152"/>
      <c r="I525" s="152"/>
      <c r="J525" s="152"/>
      <c r="K525" s="152"/>
      <c r="L525" s="152"/>
      <c r="M525" s="152"/>
    </row>
    <row r="526" spans="1:13" s="79" customFormat="1" ht="15" customHeight="1" x14ac:dyDescent="0.2">
      <c r="A526" s="83" t="s">
        <v>572</v>
      </c>
      <c r="B526" s="84">
        <v>10</v>
      </c>
      <c r="C526" s="87" t="s">
        <v>188</v>
      </c>
      <c r="D526" s="84" t="s">
        <v>468</v>
      </c>
      <c r="E526" s="84">
        <v>320</v>
      </c>
      <c r="F526" s="139">
        <f>F527</f>
        <v>1000</v>
      </c>
      <c r="G526" s="294"/>
      <c r="H526" s="151"/>
      <c r="I526" s="151"/>
      <c r="J526" s="151"/>
      <c r="K526" s="151"/>
      <c r="L526" s="151"/>
      <c r="M526" s="151"/>
    </row>
    <row r="527" spans="1:13" s="79" customFormat="1" ht="20.25" customHeight="1" x14ac:dyDescent="0.2">
      <c r="A527" s="115" t="s">
        <v>469</v>
      </c>
      <c r="B527" s="84">
        <v>10</v>
      </c>
      <c r="C527" s="87" t="s">
        <v>188</v>
      </c>
      <c r="D527" s="84" t="s">
        <v>468</v>
      </c>
      <c r="E527" s="84">
        <v>322</v>
      </c>
      <c r="F527" s="139">
        <f>'ПР 7 ведом'!G602</f>
        <v>1000</v>
      </c>
      <c r="G527" s="294"/>
      <c r="H527" s="151"/>
      <c r="I527" s="151"/>
      <c r="J527" s="151"/>
      <c r="K527" s="151"/>
      <c r="L527" s="151"/>
      <c r="M527" s="151"/>
    </row>
    <row r="528" spans="1:13" s="79" customFormat="1" ht="21" customHeight="1" x14ac:dyDescent="0.2">
      <c r="A528" s="61" t="s">
        <v>275</v>
      </c>
      <c r="B528" s="96">
        <v>10</v>
      </c>
      <c r="C528" s="94" t="s">
        <v>160</v>
      </c>
      <c r="D528" s="96"/>
      <c r="E528" s="96"/>
      <c r="F528" s="219">
        <f>F529+F536</f>
        <v>36709.799999999996</v>
      </c>
      <c r="G528" s="294"/>
      <c r="H528" s="151"/>
      <c r="I528" s="151"/>
      <c r="J528" s="151"/>
      <c r="K528" s="151"/>
      <c r="L528" s="151"/>
      <c r="M528" s="151"/>
    </row>
    <row r="529" spans="1:13" s="79" customFormat="1" ht="21" customHeight="1" x14ac:dyDescent="0.2">
      <c r="A529" s="66" t="s">
        <v>649</v>
      </c>
      <c r="B529" s="68">
        <v>10</v>
      </c>
      <c r="C529" s="67" t="s">
        <v>160</v>
      </c>
      <c r="D529" s="68" t="s">
        <v>245</v>
      </c>
      <c r="E529" s="68"/>
      <c r="F529" s="140">
        <f t="shared" ref="F529:F534" si="1">F530</f>
        <v>3629.7</v>
      </c>
      <c r="G529" s="294"/>
      <c r="H529" s="151"/>
      <c r="I529" s="151"/>
      <c r="J529" s="151"/>
      <c r="K529" s="151"/>
      <c r="L529" s="151"/>
      <c r="M529" s="151"/>
    </row>
    <row r="530" spans="1:13" s="79" customFormat="1" ht="21" customHeight="1" x14ac:dyDescent="0.2">
      <c r="A530" s="66" t="s">
        <v>246</v>
      </c>
      <c r="B530" s="68">
        <v>10</v>
      </c>
      <c r="C530" s="67" t="s">
        <v>277</v>
      </c>
      <c r="D530" s="84" t="s">
        <v>247</v>
      </c>
      <c r="E530" s="68"/>
      <c r="F530" s="140">
        <f>F531</f>
        <v>3629.7</v>
      </c>
      <c r="G530" s="294"/>
      <c r="H530" s="151"/>
      <c r="I530" s="151"/>
      <c r="J530" s="151"/>
      <c r="K530" s="151"/>
      <c r="L530" s="151"/>
      <c r="M530" s="151"/>
    </row>
    <row r="531" spans="1:13" s="79" customFormat="1" ht="21" customHeight="1" x14ac:dyDescent="0.2">
      <c r="A531" s="66" t="s">
        <v>278</v>
      </c>
      <c r="B531" s="68" t="s">
        <v>186</v>
      </c>
      <c r="C531" s="67" t="s">
        <v>160</v>
      </c>
      <c r="D531" s="68" t="s">
        <v>279</v>
      </c>
      <c r="E531" s="68" t="s">
        <v>184</v>
      </c>
      <c r="F531" s="131">
        <f>F532</f>
        <v>3629.7</v>
      </c>
      <c r="G531" s="294"/>
      <c r="H531" s="151"/>
      <c r="I531" s="151"/>
      <c r="J531" s="151"/>
      <c r="K531" s="151"/>
      <c r="L531" s="151"/>
      <c r="M531" s="151"/>
    </row>
    <row r="532" spans="1:13" s="79" customFormat="1" ht="21" customHeight="1" x14ac:dyDescent="0.2">
      <c r="A532" s="66" t="s">
        <v>280</v>
      </c>
      <c r="B532" s="68" t="s">
        <v>186</v>
      </c>
      <c r="C532" s="67" t="s">
        <v>160</v>
      </c>
      <c r="D532" s="68" t="s">
        <v>281</v>
      </c>
      <c r="E532" s="68"/>
      <c r="F532" s="131">
        <f>F533</f>
        <v>3629.7</v>
      </c>
      <c r="G532" s="294"/>
      <c r="H532" s="151"/>
      <c r="I532" s="151"/>
      <c r="J532" s="151"/>
      <c r="K532" s="151"/>
      <c r="L532" s="151"/>
      <c r="M532" s="151"/>
    </row>
    <row r="533" spans="1:13" s="79" customFormat="1" ht="21" customHeight="1" x14ac:dyDescent="0.2">
      <c r="A533" s="75" t="s">
        <v>197</v>
      </c>
      <c r="B533" s="68" t="s">
        <v>186</v>
      </c>
      <c r="C533" s="67" t="s">
        <v>160</v>
      </c>
      <c r="D533" s="68" t="s">
        <v>281</v>
      </c>
      <c r="E533" s="73" t="s">
        <v>198</v>
      </c>
      <c r="F533" s="139">
        <f t="shared" si="1"/>
        <v>3629.7</v>
      </c>
      <c r="G533" s="294"/>
      <c r="H533" s="151"/>
      <c r="I533" s="151"/>
      <c r="J533" s="151"/>
      <c r="K533" s="151"/>
      <c r="L533" s="151"/>
      <c r="M533" s="151"/>
    </row>
    <row r="534" spans="1:13" s="79" customFormat="1" ht="11.25" x14ac:dyDescent="0.2">
      <c r="A534" s="75" t="s">
        <v>199</v>
      </c>
      <c r="B534" s="68" t="s">
        <v>186</v>
      </c>
      <c r="C534" s="67" t="s">
        <v>160</v>
      </c>
      <c r="D534" s="68" t="s">
        <v>281</v>
      </c>
      <c r="E534" s="78">
        <v>310</v>
      </c>
      <c r="F534" s="139">
        <f t="shared" si="1"/>
        <v>3629.7</v>
      </c>
      <c r="G534" s="294"/>
      <c r="H534" s="151"/>
      <c r="I534" s="151"/>
      <c r="J534" s="151"/>
      <c r="K534" s="151"/>
      <c r="L534" s="151"/>
      <c r="M534" s="151"/>
    </row>
    <row r="535" spans="1:13" s="79" customFormat="1" ht="22.5" x14ac:dyDescent="0.2">
      <c r="A535" s="70" t="s">
        <v>200</v>
      </c>
      <c r="B535" s="68" t="s">
        <v>186</v>
      </c>
      <c r="C535" s="67" t="s">
        <v>160</v>
      </c>
      <c r="D535" s="68" t="s">
        <v>281</v>
      </c>
      <c r="E535" s="78">
        <v>313</v>
      </c>
      <c r="F535" s="139">
        <f>'ПР 7 ведом'!G300</f>
        <v>3629.7</v>
      </c>
      <c r="G535" s="294"/>
      <c r="H535" s="151"/>
      <c r="I535" s="151"/>
      <c r="J535" s="151"/>
      <c r="K535" s="151"/>
      <c r="L535" s="151"/>
      <c r="M535" s="151"/>
    </row>
    <row r="536" spans="1:13" s="79" customFormat="1" ht="56.25" x14ac:dyDescent="0.2">
      <c r="A536" s="66" t="s">
        <v>201</v>
      </c>
      <c r="B536" s="73" t="s">
        <v>186</v>
      </c>
      <c r="C536" s="73" t="s">
        <v>160</v>
      </c>
      <c r="D536" s="73" t="s">
        <v>202</v>
      </c>
      <c r="E536" s="78"/>
      <c r="F536" s="139">
        <f>F537</f>
        <v>33080.1</v>
      </c>
      <c r="G536" s="294"/>
      <c r="H536" s="151"/>
      <c r="I536" s="151"/>
      <c r="J536" s="151"/>
      <c r="K536" s="151"/>
      <c r="L536" s="151"/>
      <c r="M536" s="151"/>
    </row>
    <row r="537" spans="1:13" s="79" customFormat="1" ht="56.25" x14ac:dyDescent="0.2">
      <c r="A537" s="69" t="s">
        <v>85</v>
      </c>
      <c r="B537" s="73" t="s">
        <v>186</v>
      </c>
      <c r="C537" s="73" t="s">
        <v>160</v>
      </c>
      <c r="D537" s="73" t="s">
        <v>203</v>
      </c>
      <c r="E537" s="68"/>
      <c r="F537" s="139">
        <f>F538</f>
        <v>33080.1</v>
      </c>
      <c r="G537" s="294"/>
      <c r="H537" s="151"/>
      <c r="I537" s="151"/>
      <c r="J537" s="151"/>
      <c r="K537" s="151"/>
      <c r="L537" s="151"/>
      <c r="M537" s="151"/>
    </row>
    <row r="538" spans="1:13" s="79" customFormat="1" ht="11.25" x14ac:dyDescent="0.2">
      <c r="A538" s="75" t="s">
        <v>197</v>
      </c>
      <c r="B538" s="73" t="s">
        <v>186</v>
      </c>
      <c r="C538" s="73" t="s">
        <v>160</v>
      </c>
      <c r="D538" s="73" t="s">
        <v>203</v>
      </c>
      <c r="E538" s="73" t="s">
        <v>198</v>
      </c>
      <c r="F538" s="139">
        <f>F539</f>
        <v>33080.1</v>
      </c>
      <c r="G538" s="294"/>
      <c r="H538" s="151"/>
      <c r="I538" s="151"/>
      <c r="J538" s="151"/>
      <c r="K538" s="151"/>
      <c r="L538" s="151"/>
      <c r="M538" s="151"/>
    </row>
    <row r="539" spans="1:13" s="79" customFormat="1" ht="11.25" x14ac:dyDescent="0.2">
      <c r="A539" s="75" t="s">
        <v>199</v>
      </c>
      <c r="B539" s="73" t="s">
        <v>186</v>
      </c>
      <c r="C539" s="73" t="s">
        <v>160</v>
      </c>
      <c r="D539" s="73" t="s">
        <v>203</v>
      </c>
      <c r="E539" s="78">
        <v>310</v>
      </c>
      <c r="F539" s="139">
        <f>F540</f>
        <v>33080.1</v>
      </c>
      <c r="G539" s="294"/>
      <c r="H539" s="151"/>
      <c r="I539" s="151"/>
      <c r="J539" s="151"/>
      <c r="K539" s="151"/>
      <c r="L539" s="151"/>
      <c r="M539" s="151"/>
    </row>
    <row r="540" spans="1:13" s="79" customFormat="1" ht="22.5" x14ac:dyDescent="0.2">
      <c r="A540" s="70" t="s">
        <v>200</v>
      </c>
      <c r="B540" s="73" t="s">
        <v>186</v>
      </c>
      <c r="C540" s="73" t="s">
        <v>160</v>
      </c>
      <c r="D540" s="73" t="s">
        <v>203</v>
      </c>
      <c r="E540" s="78">
        <v>313</v>
      </c>
      <c r="F540" s="139">
        <f>'ПР 7 ведом'!G133</f>
        <v>33080.1</v>
      </c>
      <c r="G540" s="294"/>
      <c r="H540" s="151"/>
      <c r="I540" s="151"/>
      <c r="J540" s="151"/>
      <c r="K540" s="151"/>
      <c r="L540" s="151"/>
      <c r="M540" s="151"/>
    </row>
    <row r="541" spans="1:13" s="79" customFormat="1" ht="21" customHeight="1" x14ac:dyDescent="0.2">
      <c r="A541" s="61" t="s">
        <v>221</v>
      </c>
      <c r="B541" s="96" t="s">
        <v>186</v>
      </c>
      <c r="C541" s="94" t="s">
        <v>222</v>
      </c>
      <c r="D541" s="96" t="s">
        <v>183</v>
      </c>
      <c r="E541" s="96" t="s">
        <v>184</v>
      </c>
      <c r="F541" s="138">
        <f>F548+F543</f>
        <v>3155.5000000000005</v>
      </c>
      <c r="G541" s="294"/>
      <c r="H541" s="151"/>
      <c r="I541" s="151"/>
      <c r="J541" s="151"/>
      <c r="K541" s="151"/>
      <c r="L541" s="151"/>
      <c r="M541" s="151"/>
    </row>
    <row r="542" spans="1:13" s="79" customFormat="1" ht="33.75" x14ac:dyDescent="0.2">
      <c r="A542" s="66" t="s">
        <v>191</v>
      </c>
      <c r="B542" s="68" t="s">
        <v>186</v>
      </c>
      <c r="C542" s="67" t="s">
        <v>222</v>
      </c>
      <c r="D542" s="68" t="s">
        <v>192</v>
      </c>
      <c r="E542" s="96"/>
      <c r="F542" s="131">
        <f>F543</f>
        <v>560.9</v>
      </c>
      <c r="G542" s="294"/>
      <c r="H542" s="151"/>
      <c r="I542" s="151"/>
      <c r="J542" s="151"/>
      <c r="K542" s="151"/>
      <c r="L542" s="151"/>
      <c r="M542" s="151"/>
    </row>
    <row r="543" spans="1:13" s="52" customFormat="1" ht="33.75" x14ac:dyDescent="0.2">
      <c r="A543" s="66" t="s">
        <v>223</v>
      </c>
      <c r="B543" s="68" t="s">
        <v>186</v>
      </c>
      <c r="C543" s="67" t="s">
        <v>222</v>
      </c>
      <c r="D543" s="68" t="s">
        <v>224</v>
      </c>
      <c r="E543" s="68" t="s">
        <v>184</v>
      </c>
      <c r="F543" s="131">
        <f>F544</f>
        <v>560.9</v>
      </c>
      <c r="G543" s="303"/>
      <c r="H543" s="148"/>
      <c r="I543" s="90"/>
      <c r="J543" s="90"/>
      <c r="K543" s="90"/>
      <c r="L543" s="90"/>
      <c r="M543" s="90"/>
    </row>
    <row r="544" spans="1:13" s="52" customFormat="1" ht="34.5" customHeight="1" x14ac:dyDescent="0.2">
      <c r="A544" s="66" t="s">
        <v>80</v>
      </c>
      <c r="B544" s="68" t="s">
        <v>186</v>
      </c>
      <c r="C544" s="67" t="s">
        <v>222</v>
      </c>
      <c r="D544" s="68" t="s">
        <v>225</v>
      </c>
      <c r="E544" s="68" t="s">
        <v>184</v>
      </c>
      <c r="F544" s="131">
        <f>F545</f>
        <v>560.9</v>
      </c>
      <c r="G544" s="302"/>
      <c r="H544" s="90"/>
      <c r="I544" s="90"/>
      <c r="J544" s="90"/>
      <c r="K544" s="90"/>
      <c r="L544" s="90"/>
      <c r="M544" s="90"/>
    </row>
    <row r="545" spans="1:13" s="52" customFormat="1" ht="17.25" customHeight="1" x14ac:dyDescent="0.2">
      <c r="A545" s="66" t="s">
        <v>149</v>
      </c>
      <c r="B545" s="68" t="s">
        <v>186</v>
      </c>
      <c r="C545" s="67" t="s">
        <v>222</v>
      </c>
      <c r="D545" s="68" t="s">
        <v>225</v>
      </c>
      <c r="E545" s="68" t="s">
        <v>150</v>
      </c>
      <c r="F545" s="131">
        <f>F546</f>
        <v>560.9</v>
      </c>
      <c r="G545" s="302"/>
      <c r="H545" s="90"/>
      <c r="I545" s="90"/>
      <c r="J545" s="90"/>
      <c r="K545" s="90"/>
      <c r="L545" s="90"/>
      <c r="M545" s="90"/>
    </row>
    <row r="546" spans="1:13" s="52" customFormat="1" ht="43.5" customHeight="1" x14ac:dyDescent="0.2">
      <c r="A546" s="70" t="s">
        <v>151</v>
      </c>
      <c r="B546" s="68" t="s">
        <v>186</v>
      </c>
      <c r="C546" s="67" t="s">
        <v>222</v>
      </c>
      <c r="D546" s="68" t="s">
        <v>225</v>
      </c>
      <c r="E546" s="68" t="s">
        <v>152</v>
      </c>
      <c r="F546" s="131">
        <f>F547</f>
        <v>560.9</v>
      </c>
      <c r="G546" s="65"/>
      <c r="H546" s="90"/>
      <c r="I546" s="90"/>
      <c r="J546" s="90"/>
      <c r="K546" s="90"/>
      <c r="L546" s="90"/>
      <c r="M546" s="90"/>
    </row>
    <row r="547" spans="1:13" s="52" customFormat="1" ht="33" customHeight="1" x14ac:dyDescent="0.2">
      <c r="A547" s="70" t="s">
        <v>153</v>
      </c>
      <c r="B547" s="68" t="s">
        <v>186</v>
      </c>
      <c r="C547" s="67" t="s">
        <v>222</v>
      </c>
      <c r="D547" s="68" t="s">
        <v>225</v>
      </c>
      <c r="E547" s="68" t="s">
        <v>154</v>
      </c>
      <c r="F547" s="131">
        <f>'ПР 7 ведом'!G141</f>
        <v>560.9</v>
      </c>
      <c r="G547" s="65"/>
      <c r="H547" s="90"/>
      <c r="I547" s="90"/>
      <c r="J547" s="90"/>
      <c r="K547" s="90"/>
      <c r="L547" s="90"/>
      <c r="M547" s="90"/>
    </row>
    <row r="548" spans="1:13" s="79" customFormat="1" ht="18" customHeight="1" x14ac:dyDescent="0.2">
      <c r="A548" s="66" t="s">
        <v>226</v>
      </c>
      <c r="B548" s="68" t="s">
        <v>186</v>
      </c>
      <c r="C548" s="67" t="s">
        <v>222</v>
      </c>
      <c r="D548" s="68" t="s">
        <v>227</v>
      </c>
      <c r="E548" s="68"/>
      <c r="F548" s="131">
        <f>F549+F563</f>
        <v>2594.6000000000004</v>
      </c>
      <c r="G548" s="294"/>
      <c r="H548" s="151"/>
      <c r="I548" s="151"/>
      <c r="J548" s="151"/>
      <c r="K548" s="151"/>
      <c r="L548" s="151"/>
      <c r="M548" s="151"/>
    </row>
    <row r="549" spans="1:13" s="79" customFormat="1" ht="18" customHeight="1" x14ac:dyDescent="0.2">
      <c r="A549" s="66" t="s">
        <v>228</v>
      </c>
      <c r="B549" s="68" t="s">
        <v>186</v>
      </c>
      <c r="C549" s="67" t="s">
        <v>222</v>
      </c>
      <c r="D549" s="68" t="s">
        <v>229</v>
      </c>
      <c r="E549" s="68" t="s">
        <v>184</v>
      </c>
      <c r="F549" s="131">
        <f>F550+F555+F559</f>
        <v>2494.6000000000004</v>
      </c>
      <c r="G549" s="294"/>
      <c r="H549" s="151"/>
      <c r="I549" s="151"/>
      <c r="J549" s="151"/>
      <c r="K549" s="151"/>
      <c r="L549" s="151"/>
      <c r="M549" s="151"/>
    </row>
    <row r="550" spans="1:13" s="79" customFormat="1" ht="22.5" x14ac:dyDescent="0.2">
      <c r="A550" s="82" t="s">
        <v>230</v>
      </c>
      <c r="B550" s="68">
        <v>10</v>
      </c>
      <c r="C550" s="67" t="s">
        <v>222</v>
      </c>
      <c r="D550" s="68" t="s">
        <v>231</v>
      </c>
      <c r="E550" s="68" t="s">
        <v>184</v>
      </c>
      <c r="F550" s="131">
        <f>F551</f>
        <v>2181.8000000000002</v>
      </c>
      <c r="G550" s="294"/>
      <c r="H550" s="151"/>
      <c r="I550" s="151"/>
      <c r="J550" s="151"/>
      <c r="K550" s="151"/>
      <c r="L550" s="151"/>
      <c r="M550" s="151"/>
    </row>
    <row r="551" spans="1:13" s="52" customFormat="1" ht="45" x14ac:dyDescent="0.2">
      <c r="A551" s="66" t="s">
        <v>139</v>
      </c>
      <c r="B551" s="68">
        <v>10</v>
      </c>
      <c r="C551" s="67" t="s">
        <v>222</v>
      </c>
      <c r="D551" s="68" t="s">
        <v>231</v>
      </c>
      <c r="E551" s="68" t="s">
        <v>140</v>
      </c>
      <c r="F551" s="131">
        <f>F552</f>
        <v>2181.8000000000002</v>
      </c>
      <c r="G551" s="64"/>
      <c r="H551" s="148"/>
      <c r="I551" s="90"/>
      <c r="J551" s="90"/>
      <c r="K551" s="90"/>
      <c r="L551" s="90"/>
      <c r="M551" s="90"/>
    </row>
    <row r="552" spans="1:13" s="52" customFormat="1" ht="32.25" customHeight="1" x14ac:dyDescent="0.2">
      <c r="A552" s="66" t="s">
        <v>168</v>
      </c>
      <c r="B552" s="68">
        <v>10</v>
      </c>
      <c r="C552" s="67" t="s">
        <v>222</v>
      </c>
      <c r="D552" s="68" t="s">
        <v>231</v>
      </c>
      <c r="E552" s="68" t="s">
        <v>232</v>
      </c>
      <c r="F552" s="131">
        <f>F553+F554</f>
        <v>2181.8000000000002</v>
      </c>
      <c r="G552" s="64"/>
      <c r="H552" s="90"/>
      <c r="I552" s="90"/>
      <c r="J552" s="90"/>
      <c r="K552" s="90"/>
      <c r="L552" s="90"/>
      <c r="M552" s="90"/>
    </row>
    <row r="553" spans="1:13" s="283" customFormat="1" ht="38.25" customHeight="1" x14ac:dyDescent="0.2">
      <c r="A553" s="69" t="s">
        <v>169</v>
      </c>
      <c r="B553" s="68">
        <v>10</v>
      </c>
      <c r="C553" s="67" t="s">
        <v>222</v>
      </c>
      <c r="D553" s="68" t="s">
        <v>231</v>
      </c>
      <c r="E553" s="68" t="s">
        <v>233</v>
      </c>
      <c r="F553" s="131">
        <f>'ПР 7 ведом'!G147</f>
        <v>1675.8</v>
      </c>
      <c r="G553" s="65"/>
      <c r="H553" s="282"/>
      <c r="I553" s="282"/>
      <c r="J553" s="282"/>
      <c r="K553" s="282"/>
      <c r="L553" s="282"/>
      <c r="M553" s="282"/>
    </row>
    <row r="554" spans="1:13" s="283" customFormat="1" ht="33.75" x14ac:dyDescent="0.2">
      <c r="A554" s="69" t="s">
        <v>170</v>
      </c>
      <c r="B554" s="68">
        <v>10</v>
      </c>
      <c r="C554" s="67" t="s">
        <v>222</v>
      </c>
      <c r="D554" s="68" t="s">
        <v>231</v>
      </c>
      <c r="E554" s="68">
        <v>129</v>
      </c>
      <c r="F554" s="131">
        <f>'ПР 7 ведом'!G148</f>
        <v>506</v>
      </c>
      <c r="G554" s="65"/>
      <c r="H554" s="282"/>
      <c r="I554" s="282"/>
      <c r="J554" s="282"/>
      <c r="K554" s="282"/>
      <c r="L554" s="282"/>
      <c r="M554" s="282"/>
    </row>
    <row r="555" spans="1:13" s="283" customFormat="1" ht="24.75" customHeight="1" x14ac:dyDescent="0.2">
      <c r="A555" s="66" t="s">
        <v>149</v>
      </c>
      <c r="B555" s="68">
        <v>10</v>
      </c>
      <c r="C555" s="67" t="s">
        <v>222</v>
      </c>
      <c r="D555" s="68" t="s">
        <v>234</v>
      </c>
      <c r="E555" s="68" t="s">
        <v>150</v>
      </c>
      <c r="F555" s="131">
        <f>F556</f>
        <v>292.8</v>
      </c>
      <c r="G555" s="65"/>
      <c r="H555" s="282"/>
      <c r="I555" s="282"/>
      <c r="J555" s="282"/>
      <c r="K555" s="282"/>
      <c r="L555" s="282"/>
      <c r="M555" s="282"/>
    </row>
    <row r="556" spans="1:13" s="52" customFormat="1" ht="24.75" customHeight="1" x14ac:dyDescent="0.2">
      <c r="A556" s="70" t="s">
        <v>151</v>
      </c>
      <c r="B556" s="68">
        <v>10</v>
      </c>
      <c r="C556" s="67" t="s">
        <v>222</v>
      </c>
      <c r="D556" s="68" t="s">
        <v>234</v>
      </c>
      <c r="E556" s="68" t="s">
        <v>152</v>
      </c>
      <c r="F556" s="131">
        <f>F558+F557</f>
        <v>292.8</v>
      </c>
      <c r="G556" s="65"/>
      <c r="H556" s="90"/>
      <c r="I556" s="90"/>
      <c r="J556" s="90"/>
      <c r="K556" s="90"/>
      <c r="L556" s="90"/>
      <c r="M556" s="90"/>
    </row>
    <row r="557" spans="1:13" s="52" customFormat="1" ht="24.75" customHeight="1" x14ac:dyDescent="0.2">
      <c r="A557" s="70" t="s">
        <v>171</v>
      </c>
      <c r="B557" s="68">
        <v>10</v>
      </c>
      <c r="C557" s="67" t="s">
        <v>222</v>
      </c>
      <c r="D557" s="68" t="s">
        <v>234</v>
      </c>
      <c r="E557" s="68">
        <v>242</v>
      </c>
      <c r="F557" s="131">
        <f>'ПР 7 ведом'!G151</f>
        <v>80</v>
      </c>
      <c r="G557" s="65"/>
      <c r="H557" s="90"/>
      <c r="I557" s="90"/>
      <c r="J557" s="90"/>
      <c r="K557" s="90"/>
      <c r="L557" s="90"/>
      <c r="M557" s="90"/>
    </row>
    <row r="558" spans="1:13" s="52" customFormat="1" ht="22.5" customHeight="1" x14ac:dyDescent="0.2">
      <c r="A558" s="70" t="s">
        <v>153</v>
      </c>
      <c r="B558" s="68">
        <v>10</v>
      </c>
      <c r="C558" s="67" t="s">
        <v>222</v>
      </c>
      <c r="D558" s="68" t="s">
        <v>234</v>
      </c>
      <c r="E558" s="68" t="s">
        <v>154</v>
      </c>
      <c r="F558" s="131">
        <f>'ПР 7 ведом'!G152</f>
        <v>212.8</v>
      </c>
      <c r="G558" s="65"/>
      <c r="H558" s="90"/>
      <c r="I558" s="90"/>
      <c r="J558" s="90"/>
      <c r="K558" s="90"/>
      <c r="L558" s="90"/>
      <c r="M558" s="90"/>
    </row>
    <row r="559" spans="1:13" s="52" customFormat="1" ht="27.75" customHeight="1" x14ac:dyDescent="0.2">
      <c r="A559" s="66" t="s">
        <v>172</v>
      </c>
      <c r="B559" s="68">
        <v>10</v>
      </c>
      <c r="C559" s="67" t="s">
        <v>222</v>
      </c>
      <c r="D559" s="68" t="s">
        <v>234</v>
      </c>
      <c r="E559" s="68" t="s">
        <v>235</v>
      </c>
      <c r="F559" s="131">
        <f>F560</f>
        <v>20</v>
      </c>
      <c r="G559" s="65"/>
      <c r="H559" s="90"/>
      <c r="I559" s="90"/>
      <c r="J559" s="90"/>
      <c r="K559" s="90"/>
      <c r="L559" s="90"/>
      <c r="M559" s="90"/>
    </row>
    <row r="560" spans="1:13" s="52" customFormat="1" ht="22.5" customHeight="1" x14ac:dyDescent="0.2">
      <c r="A560" s="70" t="s">
        <v>173</v>
      </c>
      <c r="B560" s="68">
        <v>10</v>
      </c>
      <c r="C560" s="67" t="s">
        <v>222</v>
      </c>
      <c r="D560" s="68" t="s">
        <v>234</v>
      </c>
      <c r="E560" s="68" t="s">
        <v>174</v>
      </c>
      <c r="F560" s="131">
        <f>F561+F562</f>
        <v>20</v>
      </c>
      <c r="G560" s="65"/>
      <c r="H560" s="90"/>
      <c r="I560" s="90"/>
      <c r="J560" s="90"/>
      <c r="K560" s="90"/>
      <c r="L560" s="90"/>
      <c r="M560" s="90"/>
    </row>
    <row r="561" spans="1:13" s="52" customFormat="1" x14ac:dyDescent="0.2">
      <c r="A561" s="66" t="s">
        <v>175</v>
      </c>
      <c r="B561" s="68">
        <v>10</v>
      </c>
      <c r="C561" s="67" t="s">
        <v>222</v>
      </c>
      <c r="D561" s="68" t="s">
        <v>234</v>
      </c>
      <c r="E561" s="68" t="s">
        <v>176</v>
      </c>
      <c r="F561" s="131">
        <f>'ПР 7 ведом'!G155</f>
        <v>16</v>
      </c>
      <c r="G561" s="65"/>
      <c r="H561" s="90"/>
      <c r="I561" s="90"/>
      <c r="J561" s="90"/>
      <c r="K561" s="90"/>
      <c r="L561" s="90"/>
      <c r="M561" s="90"/>
    </row>
    <row r="562" spans="1:13" s="52" customFormat="1" ht="20.25" customHeight="1" x14ac:dyDescent="0.2">
      <c r="A562" s="70" t="s">
        <v>564</v>
      </c>
      <c r="B562" s="68">
        <v>10</v>
      </c>
      <c r="C562" s="67" t="s">
        <v>222</v>
      </c>
      <c r="D562" s="68" t="s">
        <v>234</v>
      </c>
      <c r="E562" s="68">
        <v>853</v>
      </c>
      <c r="F562" s="131">
        <f>'ПР 7 ведом'!G156</f>
        <v>4</v>
      </c>
      <c r="G562" s="65"/>
      <c r="H562" s="90"/>
      <c r="I562" s="90"/>
      <c r="J562" s="90"/>
      <c r="K562" s="90"/>
      <c r="L562" s="90"/>
      <c r="M562" s="90"/>
    </row>
    <row r="563" spans="1:13" s="52" customFormat="1" ht="23.25" customHeight="1" x14ac:dyDescent="0.2">
      <c r="A563" s="83" t="s">
        <v>237</v>
      </c>
      <c r="B563" s="68">
        <v>10</v>
      </c>
      <c r="C563" s="67" t="s">
        <v>222</v>
      </c>
      <c r="D563" s="68" t="s">
        <v>238</v>
      </c>
      <c r="E563" s="68"/>
      <c r="F563" s="131">
        <f>F564</f>
        <v>100</v>
      </c>
      <c r="G563" s="65">
        <f>F563+F549+F543+F536+F529+F524+F514+F506+F501+F492+F487+F479+F474</f>
        <v>74452.5</v>
      </c>
      <c r="H563" s="90"/>
      <c r="I563" s="90"/>
      <c r="J563" s="90"/>
      <c r="K563" s="90"/>
      <c r="L563" s="90"/>
      <c r="M563" s="90"/>
    </row>
    <row r="564" spans="1:13" s="52" customFormat="1" ht="31.5" customHeight="1" x14ac:dyDescent="0.2">
      <c r="A564" s="66" t="s">
        <v>149</v>
      </c>
      <c r="B564" s="68">
        <v>10</v>
      </c>
      <c r="C564" s="67" t="s">
        <v>222</v>
      </c>
      <c r="D564" s="68" t="s">
        <v>238</v>
      </c>
      <c r="E564" s="68" t="s">
        <v>150</v>
      </c>
      <c r="F564" s="131">
        <f>F565</f>
        <v>100</v>
      </c>
      <c r="G564" s="65"/>
      <c r="H564" s="90"/>
      <c r="I564" s="90"/>
      <c r="J564" s="90"/>
      <c r="K564" s="90"/>
      <c r="L564" s="90"/>
      <c r="M564" s="90"/>
    </row>
    <row r="565" spans="1:13" s="52" customFormat="1" ht="21.75" customHeight="1" x14ac:dyDescent="0.2">
      <c r="A565" s="70" t="s">
        <v>151</v>
      </c>
      <c r="B565" s="68">
        <v>10</v>
      </c>
      <c r="C565" s="67" t="s">
        <v>222</v>
      </c>
      <c r="D565" s="68" t="s">
        <v>238</v>
      </c>
      <c r="E565" s="68" t="s">
        <v>152</v>
      </c>
      <c r="F565" s="131">
        <f>F566</f>
        <v>100</v>
      </c>
      <c r="G565" s="65"/>
      <c r="H565" s="90"/>
      <c r="I565" s="90"/>
      <c r="J565" s="90"/>
      <c r="K565" s="90"/>
      <c r="L565" s="90"/>
      <c r="M565" s="90"/>
    </row>
    <row r="566" spans="1:13" s="52" customFormat="1" ht="21.75" customHeight="1" x14ac:dyDescent="0.2">
      <c r="A566" s="70" t="s">
        <v>153</v>
      </c>
      <c r="B566" s="68">
        <v>10</v>
      </c>
      <c r="C566" s="67" t="s">
        <v>222</v>
      </c>
      <c r="D566" s="68" t="s">
        <v>238</v>
      </c>
      <c r="E566" s="68" t="s">
        <v>154</v>
      </c>
      <c r="F566" s="131">
        <f>'ПР 7 ведом'!G160</f>
        <v>100</v>
      </c>
      <c r="G566" s="65"/>
      <c r="H566" s="90"/>
      <c r="I566" s="90"/>
      <c r="J566" s="90"/>
      <c r="K566" s="90"/>
      <c r="L566" s="90"/>
      <c r="M566" s="90"/>
    </row>
    <row r="567" spans="1:13" s="52" customFormat="1" ht="21.75" customHeight="1" x14ac:dyDescent="0.2">
      <c r="A567" s="341" t="s">
        <v>470</v>
      </c>
      <c r="B567" s="328">
        <v>11</v>
      </c>
      <c r="C567" s="305"/>
      <c r="D567" s="306"/>
      <c r="E567" s="306"/>
      <c r="F567" s="338">
        <f t="shared" ref="F567:F572" si="2">F568</f>
        <v>300</v>
      </c>
      <c r="G567" s="65"/>
      <c r="H567" s="90"/>
      <c r="I567" s="90"/>
      <c r="J567" s="90"/>
      <c r="K567" s="90"/>
      <c r="L567" s="90"/>
      <c r="M567" s="90"/>
    </row>
    <row r="568" spans="1:13" s="52" customFormat="1" ht="21.75" customHeight="1" x14ac:dyDescent="0.2">
      <c r="A568" s="61" t="s">
        <v>472</v>
      </c>
      <c r="B568" s="96" t="s">
        <v>471</v>
      </c>
      <c r="C568" s="94" t="s">
        <v>286</v>
      </c>
      <c r="D568" s="96" t="s">
        <v>183</v>
      </c>
      <c r="E568" s="96" t="s">
        <v>184</v>
      </c>
      <c r="F568" s="219">
        <f t="shared" si="2"/>
        <v>300</v>
      </c>
      <c r="G568" s="65"/>
      <c r="H568" s="90"/>
      <c r="I568" s="90"/>
      <c r="J568" s="90"/>
      <c r="K568" s="90"/>
      <c r="L568" s="90"/>
      <c r="M568" s="90"/>
    </row>
    <row r="569" spans="1:13" s="52" customFormat="1" ht="13.5" customHeight="1" x14ac:dyDescent="0.2">
      <c r="A569" s="61" t="s">
        <v>473</v>
      </c>
      <c r="B569" s="68" t="s">
        <v>471</v>
      </c>
      <c r="C569" s="67" t="s">
        <v>286</v>
      </c>
      <c r="D569" s="68" t="s">
        <v>474</v>
      </c>
      <c r="E569" s="68"/>
      <c r="F569" s="140">
        <f t="shared" si="2"/>
        <v>300</v>
      </c>
      <c r="G569" s="65"/>
      <c r="H569" s="90"/>
      <c r="I569" s="90"/>
      <c r="J569" s="90"/>
      <c r="K569" s="90"/>
      <c r="L569" s="90"/>
      <c r="M569" s="90"/>
    </row>
    <row r="570" spans="1:13" s="52" customFormat="1" ht="13.5" customHeight="1" x14ac:dyDescent="0.2">
      <c r="A570" s="66" t="s">
        <v>475</v>
      </c>
      <c r="B570" s="68" t="s">
        <v>471</v>
      </c>
      <c r="C570" s="67" t="s">
        <v>286</v>
      </c>
      <c r="D570" s="68" t="s">
        <v>476</v>
      </c>
      <c r="E570" s="68"/>
      <c r="F570" s="140">
        <f t="shared" si="2"/>
        <v>300</v>
      </c>
      <c r="G570" s="65"/>
      <c r="H570" s="90"/>
      <c r="I570" s="90"/>
      <c r="J570" s="90"/>
      <c r="K570" s="90"/>
      <c r="L570" s="90"/>
      <c r="M570" s="90"/>
    </row>
    <row r="571" spans="1:13" s="52" customFormat="1" ht="24.75" customHeight="1" x14ac:dyDescent="0.2">
      <c r="A571" s="66" t="s">
        <v>149</v>
      </c>
      <c r="B571" s="68" t="s">
        <v>471</v>
      </c>
      <c r="C571" s="67" t="s">
        <v>286</v>
      </c>
      <c r="D571" s="68" t="s">
        <v>476</v>
      </c>
      <c r="E571" s="68">
        <v>200</v>
      </c>
      <c r="F571" s="140">
        <f t="shared" si="2"/>
        <v>300</v>
      </c>
      <c r="G571" s="65"/>
      <c r="H571" s="90"/>
      <c r="I571" s="90"/>
      <c r="J571" s="90"/>
      <c r="K571" s="90"/>
      <c r="L571" s="90"/>
      <c r="M571" s="90"/>
    </row>
    <row r="572" spans="1:13" s="52" customFormat="1" ht="24.75" customHeight="1" x14ac:dyDescent="0.2">
      <c r="A572" s="66" t="s">
        <v>151</v>
      </c>
      <c r="B572" s="68" t="s">
        <v>471</v>
      </c>
      <c r="C572" s="67" t="s">
        <v>286</v>
      </c>
      <c r="D572" s="68" t="s">
        <v>476</v>
      </c>
      <c r="E572" s="68">
        <v>240</v>
      </c>
      <c r="F572" s="140">
        <f t="shared" si="2"/>
        <v>300</v>
      </c>
      <c r="G572" s="65"/>
      <c r="H572" s="90"/>
      <c r="I572" s="90"/>
      <c r="J572" s="90"/>
      <c r="K572" s="90"/>
      <c r="L572" s="90"/>
      <c r="M572" s="90"/>
    </row>
    <row r="573" spans="1:13" s="52" customFormat="1" ht="24.75" customHeight="1" x14ac:dyDescent="0.2">
      <c r="A573" s="70" t="s">
        <v>153</v>
      </c>
      <c r="B573" s="68" t="s">
        <v>471</v>
      </c>
      <c r="C573" s="67" t="s">
        <v>286</v>
      </c>
      <c r="D573" s="68" t="s">
        <v>476</v>
      </c>
      <c r="E573" s="68">
        <v>244</v>
      </c>
      <c r="F573" s="140">
        <f>'ПР 7 ведом'!G609</f>
        <v>300</v>
      </c>
      <c r="G573" s="65"/>
      <c r="H573" s="90"/>
      <c r="I573" s="90"/>
      <c r="J573" s="90"/>
      <c r="K573" s="90"/>
      <c r="L573" s="90"/>
      <c r="M573" s="90"/>
    </row>
    <row r="574" spans="1:13" s="52" customFormat="1" ht="24.75" customHeight="1" x14ac:dyDescent="0.2">
      <c r="A574" s="341" t="s">
        <v>477</v>
      </c>
      <c r="B574" s="328">
        <v>12</v>
      </c>
      <c r="C574" s="337"/>
      <c r="D574" s="328"/>
      <c r="E574" s="328"/>
      <c r="F574" s="340">
        <f t="shared" ref="F574:F579" si="3">F575</f>
        <v>100</v>
      </c>
      <c r="G574" s="65"/>
      <c r="H574" s="90"/>
      <c r="I574" s="90"/>
      <c r="J574" s="90"/>
      <c r="K574" s="90"/>
      <c r="L574" s="90"/>
      <c r="M574" s="90"/>
    </row>
    <row r="575" spans="1:13" s="52" customFormat="1" ht="12" customHeight="1" x14ac:dyDescent="0.2">
      <c r="A575" s="61" t="s">
        <v>478</v>
      </c>
      <c r="B575" s="96">
        <v>12</v>
      </c>
      <c r="C575" s="94" t="s">
        <v>254</v>
      </c>
      <c r="D575" s="96"/>
      <c r="E575" s="96"/>
      <c r="F575" s="219">
        <f t="shared" si="3"/>
        <v>100</v>
      </c>
      <c r="G575" s="65"/>
      <c r="H575" s="148"/>
      <c r="I575" s="90"/>
      <c r="J575" s="90"/>
      <c r="K575" s="90"/>
      <c r="L575" s="90"/>
      <c r="M575" s="90"/>
    </row>
    <row r="576" spans="1:13" s="52" customFormat="1" ht="31.5" x14ac:dyDescent="0.2">
      <c r="A576" s="61" t="s">
        <v>479</v>
      </c>
      <c r="B576" s="96">
        <v>12</v>
      </c>
      <c r="C576" s="94" t="s">
        <v>254</v>
      </c>
      <c r="D576" s="96" t="s">
        <v>480</v>
      </c>
      <c r="E576" s="96"/>
      <c r="F576" s="140">
        <f t="shared" si="3"/>
        <v>100</v>
      </c>
      <c r="G576" s="303"/>
      <c r="H576" s="157"/>
      <c r="I576" s="90"/>
      <c r="J576" s="90"/>
      <c r="K576" s="90"/>
      <c r="L576" s="90"/>
      <c r="M576" s="90"/>
    </row>
    <row r="577" spans="1:13" s="52" customFormat="1" ht="34.5" customHeight="1" x14ac:dyDescent="0.2">
      <c r="A577" s="66" t="s">
        <v>481</v>
      </c>
      <c r="B577" s="68">
        <v>12</v>
      </c>
      <c r="C577" s="67" t="s">
        <v>254</v>
      </c>
      <c r="D577" s="68" t="s">
        <v>482</v>
      </c>
      <c r="E577" s="68"/>
      <c r="F577" s="140">
        <f t="shared" si="3"/>
        <v>100</v>
      </c>
      <c r="G577" s="302"/>
      <c r="H577" s="90"/>
      <c r="I577" s="90"/>
      <c r="J577" s="90"/>
      <c r="K577" s="90"/>
      <c r="L577" s="90"/>
      <c r="M577" s="90"/>
    </row>
    <row r="578" spans="1:13" s="52" customFormat="1" ht="16.5" customHeight="1" x14ac:dyDescent="0.2">
      <c r="A578" s="66" t="s">
        <v>149</v>
      </c>
      <c r="B578" s="68">
        <v>12</v>
      </c>
      <c r="C578" s="67" t="s">
        <v>254</v>
      </c>
      <c r="D578" s="68" t="s">
        <v>482</v>
      </c>
      <c r="E578" s="68">
        <v>200</v>
      </c>
      <c r="F578" s="140">
        <f t="shared" si="3"/>
        <v>100</v>
      </c>
      <c r="G578" s="65"/>
      <c r="H578" s="90"/>
      <c r="I578" s="90"/>
      <c r="J578" s="90"/>
      <c r="K578" s="90"/>
      <c r="L578" s="90"/>
      <c r="M578" s="90"/>
    </row>
    <row r="579" spans="1:13" s="52" customFormat="1" ht="22.5" customHeight="1" x14ac:dyDescent="0.2">
      <c r="A579" s="66" t="s">
        <v>151</v>
      </c>
      <c r="B579" s="68">
        <v>12</v>
      </c>
      <c r="C579" s="67" t="s">
        <v>254</v>
      </c>
      <c r="D579" s="68" t="s">
        <v>482</v>
      </c>
      <c r="E579" s="68">
        <v>240</v>
      </c>
      <c r="F579" s="140">
        <f t="shared" si="3"/>
        <v>100</v>
      </c>
      <c r="G579" s="65"/>
      <c r="H579" s="90"/>
      <c r="I579" s="90"/>
      <c r="J579" s="90"/>
      <c r="K579" s="90"/>
      <c r="L579" s="90"/>
      <c r="M579" s="90"/>
    </row>
    <row r="580" spans="1:13" s="52" customFormat="1" ht="39" customHeight="1" x14ac:dyDescent="0.2">
      <c r="A580" s="70" t="s">
        <v>153</v>
      </c>
      <c r="B580" s="68">
        <v>12</v>
      </c>
      <c r="C580" s="67" t="s">
        <v>254</v>
      </c>
      <c r="D580" s="68" t="s">
        <v>482</v>
      </c>
      <c r="E580" s="68">
        <v>244</v>
      </c>
      <c r="F580" s="140">
        <f>'ПР 7 ведом'!G616</f>
        <v>100</v>
      </c>
      <c r="G580" s="302"/>
      <c r="H580" s="90"/>
      <c r="I580" s="90"/>
      <c r="J580" s="90"/>
      <c r="K580" s="90"/>
      <c r="L580" s="90"/>
      <c r="M580" s="90"/>
    </row>
    <row r="581" spans="1:13" s="52" customFormat="1" ht="28.5" customHeight="1" x14ac:dyDescent="0.2">
      <c r="A581" s="339" t="s">
        <v>344</v>
      </c>
      <c r="B581" s="328">
        <v>13</v>
      </c>
      <c r="C581" s="337"/>
      <c r="D581" s="328"/>
      <c r="E581" s="328"/>
      <c r="F581" s="340">
        <f t="shared" ref="F581:F586" si="4">F582</f>
        <v>20</v>
      </c>
      <c r="G581" s="302"/>
      <c r="H581" s="90"/>
      <c r="I581" s="90"/>
      <c r="J581" s="90"/>
      <c r="K581" s="90"/>
      <c r="L581" s="90"/>
      <c r="M581" s="90"/>
    </row>
    <row r="582" spans="1:13" s="52" customFormat="1" ht="24.75" customHeight="1" x14ac:dyDescent="0.2">
      <c r="A582" s="98" t="s">
        <v>345</v>
      </c>
      <c r="B582" s="96">
        <v>13</v>
      </c>
      <c r="C582" s="94" t="s">
        <v>122</v>
      </c>
      <c r="D582" s="96"/>
      <c r="E582" s="96"/>
      <c r="F582" s="140">
        <f t="shared" si="4"/>
        <v>20</v>
      </c>
      <c r="G582" s="302"/>
      <c r="H582" s="90"/>
      <c r="I582" s="90"/>
      <c r="J582" s="90"/>
      <c r="K582" s="90"/>
      <c r="L582" s="90"/>
      <c r="M582" s="90"/>
    </row>
    <row r="583" spans="1:13" s="52" customFormat="1" ht="24.75" customHeight="1" x14ac:dyDescent="0.2">
      <c r="A583" s="61" t="s">
        <v>324</v>
      </c>
      <c r="B583" s="96">
        <v>13</v>
      </c>
      <c r="C583" s="94" t="s">
        <v>122</v>
      </c>
      <c r="D583" s="96" t="s">
        <v>325</v>
      </c>
      <c r="E583" s="96"/>
      <c r="F583" s="140">
        <f t="shared" si="4"/>
        <v>20</v>
      </c>
      <c r="G583" s="302"/>
      <c r="H583" s="90"/>
      <c r="I583" s="90"/>
      <c r="J583" s="90"/>
      <c r="K583" s="90"/>
      <c r="L583" s="90"/>
      <c r="M583" s="90"/>
    </row>
    <row r="584" spans="1:13" s="283" customFormat="1" x14ac:dyDescent="0.2">
      <c r="A584" s="66" t="s">
        <v>346</v>
      </c>
      <c r="B584" s="68">
        <v>13</v>
      </c>
      <c r="C584" s="67" t="s">
        <v>122</v>
      </c>
      <c r="D584" s="68" t="s">
        <v>347</v>
      </c>
      <c r="E584" s="96"/>
      <c r="F584" s="140">
        <f t="shared" si="4"/>
        <v>20</v>
      </c>
      <c r="G584" s="303"/>
      <c r="H584" s="281"/>
      <c r="I584" s="282"/>
      <c r="J584" s="282"/>
      <c r="K584" s="282"/>
      <c r="L584" s="282"/>
      <c r="M584" s="282"/>
    </row>
    <row r="585" spans="1:13" s="283" customFormat="1" ht="14.25" customHeight="1" x14ac:dyDescent="0.2">
      <c r="A585" s="83" t="s">
        <v>348</v>
      </c>
      <c r="B585" s="68">
        <v>13</v>
      </c>
      <c r="C585" s="67" t="s">
        <v>122</v>
      </c>
      <c r="D585" s="68" t="s">
        <v>349</v>
      </c>
      <c r="E585" s="68"/>
      <c r="F585" s="140">
        <f t="shared" si="4"/>
        <v>20</v>
      </c>
      <c r="G585" s="303"/>
      <c r="H585" s="282"/>
      <c r="I585" s="282"/>
      <c r="J585" s="282"/>
      <c r="K585" s="282"/>
      <c r="L585" s="282"/>
      <c r="M585" s="282"/>
    </row>
    <row r="586" spans="1:13" s="52" customFormat="1" ht="33" customHeight="1" x14ac:dyDescent="0.2">
      <c r="A586" s="83" t="s">
        <v>350</v>
      </c>
      <c r="B586" s="68">
        <v>13</v>
      </c>
      <c r="C586" s="67" t="s">
        <v>122</v>
      </c>
      <c r="D586" s="68" t="s">
        <v>349</v>
      </c>
      <c r="E586" s="68">
        <v>700</v>
      </c>
      <c r="F586" s="140">
        <f t="shared" si="4"/>
        <v>20</v>
      </c>
      <c r="G586" s="302"/>
      <c r="H586" s="90"/>
      <c r="I586" s="90"/>
      <c r="J586" s="90"/>
      <c r="K586" s="90"/>
      <c r="L586" s="90"/>
      <c r="M586" s="90"/>
    </row>
    <row r="587" spans="1:13" s="52" customFormat="1" ht="19.5" customHeight="1" x14ac:dyDescent="0.2">
      <c r="A587" s="83" t="s">
        <v>351</v>
      </c>
      <c r="B587" s="68">
        <v>13</v>
      </c>
      <c r="C587" s="67" t="s">
        <v>122</v>
      </c>
      <c r="D587" s="68" t="s">
        <v>349</v>
      </c>
      <c r="E587" s="68">
        <v>730</v>
      </c>
      <c r="F587" s="140">
        <f>'ПР 7 ведом'!G391</f>
        <v>20</v>
      </c>
      <c r="G587" s="302"/>
      <c r="H587" s="90"/>
      <c r="I587" s="90"/>
      <c r="J587" s="90"/>
      <c r="K587" s="90"/>
      <c r="L587" s="90"/>
      <c r="M587" s="90"/>
    </row>
    <row r="588" spans="1:13" s="52" customFormat="1" ht="23.25" customHeight="1" x14ac:dyDescent="0.2">
      <c r="A588" s="336" t="s">
        <v>352</v>
      </c>
      <c r="B588" s="328" t="s">
        <v>353</v>
      </c>
      <c r="C588" s="337" t="s">
        <v>182</v>
      </c>
      <c r="D588" s="328" t="s">
        <v>183</v>
      </c>
      <c r="E588" s="328" t="s">
        <v>184</v>
      </c>
      <c r="F588" s="338">
        <f>F589+F599+F595</f>
        <v>13921.3</v>
      </c>
      <c r="G588" s="302"/>
      <c r="H588" s="90"/>
      <c r="I588" s="90"/>
      <c r="J588" s="90"/>
      <c r="K588" s="90"/>
      <c r="L588" s="90"/>
      <c r="M588" s="90"/>
    </row>
    <row r="589" spans="1:13" s="52" customFormat="1" ht="23.25" customHeight="1" x14ac:dyDescent="0.2">
      <c r="A589" s="61" t="s">
        <v>354</v>
      </c>
      <c r="B589" s="96" t="s">
        <v>353</v>
      </c>
      <c r="C589" s="94" t="s">
        <v>122</v>
      </c>
      <c r="D589" s="96" t="s">
        <v>183</v>
      </c>
      <c r="E589" s="96" t="s">
        <v>184</v>
      </c>
      <c r="F589" s="138">
        <f>F590</f>
        <v>13152.4</v>
      </c>
      <c r="G589" s="302"/>
      <c r="H589" s="90"/>
      <c r="I589" s="90"/>
      <c r="J589" s="90"/>
      <c r="K589" s="90"/>
      <c r="L589" s="90"/>
      <c r="M589" s="90"/>
    </row>
    <row r="590" spans="1:13" s="52" customFormat="1" ht="23.25" customHeight="1" x14ac:dyDescent="0.2">
      <c r="A590" s="66" t="s">
        <v>355</v>
      </c>
      <c r="B590" s="68" t="s">
        <v>353</v>
      </c>
      <c r="C590" s="67" t="s">
        <v>122</v>
      </c>
      <c r="D590" s="68" t="s">
        <v>356</v>
      </c>
      <c r="E590" s="68" t="s">
        <v>184</v>
      </c>
      <c r="F590" s="131">
        <f>F591</f>
        <v>13152.4</v>
      </c>
      <c r="G590" s="302"/>
      <c r="H590" s="90"/>
      <c r="I590" s="90"/>
      <c r="J590" s="90"/>
      <c r="K590" s="90"/>
      <c r="L590" s="90"/>
      <c r="M590" s="90"/>
    </row>
    <row r="591" spans="1:13" s="59" customFormat="1" ht="22.5" x14ac:dyDescent="0.2">
      <c r="A591" s="83" t="s">
        <v>357</v>
      </c>
      <c r="B591" s="68" t="s">
        <v>353</v>
      </c>
      <c r="C591" s="67" t="s">
        <v>122</v>
      </c>
      <c r="D591" s="68" t="s">
        <v>358</v>
      </c>
      <c r="E591" s="68" t="s">
        <v>184</v>
      </c>
      <c r="F591" s="131">
        <f>F592</f>
        <v>13152.4</v>
      </c>
      <c r="G591" s="89"/>
      <c r="H591" s="157"/>
      <c r="I591" s="89"/>
      <c r="J591" s="89"/>
      <c r="K591" s="89"/>
      <c r="L591" s="89"/>
      <c r="M591" s="89"/>
    </row>
    <row r="592" spans="1:13" s="59" customFormat="1" ht="11.25" x14ac:dyDescent="0.2">
      <c r="A592" s="83" t="s">
        <v>337</v>
      </c>
      <c r="B592" s="68" t="s">
        <v>353</v>
      </c>
      <c r="C592" s="67" t="s">
        <v>122</v>
      </c>
      <c r="D592" s="68" t="s">
        <v>358</v>
      </c>
      <c r="E592" s="68" t="s">
        <v>342</v>
      </c>
      <c r="F592" s="131">
        <f>F593</f>
        <v>13152.4</v>
      </c>
      <c r="G592" s="89"/>
      <c r="H592" s="89"/>
      <c r="I592" s="89"/>
      <c r="J592" s="89"/>
      <c r="K592" s="89"/>
      <c r="L592" s="89"/>
      <c r="M592" s="89"/>
    </row>
    <row r="593" spans="1:13" s="59" customFormat="1" ht="11.25" x14ac:dyDescent="0.2">
      <c r="A593" s="66" t="s">
        <v>359</v>
      </c>
      <c r="B593" s="68" t="s">
        <v>353</v>
      </c>
      <c r="C593" s="67" t="s">
        <v>122</v>
      </c>
      <c r="D593" s="68" t="s">
        <v>358</v>
      </c>
      <c r="E593" s="68" t="s">
        <v>360</v>
      </c>
      <c r="F593" s="131">
        <f>F594</f>
        <v>13152.4</v>
      </c>
      <c r="G593" s="89"/>
      <c r="H593" s="89"/>
      <c r="I593" s="89"/>
      <c r="J593" s="89"/>
      <c r="K593" s="89"/>
      <c r="L593" s="89"/>
      <c r="M593" s="89"/>
    </row>
    <row r="594" spans="1:13" s="59" customFormat="1" ht="11.25" x14ac:dyDescent="0.2">
      <c r="A594" s="70" t="s">
        <v>361</v>
      </c>
      <c r="B594" s="68" t="s">
        <v>353</v>
      </c>
      <c r="C594" s="67" t="s">
        <v>122</v>
      </c>
      <c r="D594" s="68" t="s">
        <v>358</v>
      </c>
      <c r="E594" s="68" t="s">
        <v>362</v>
      </c>
      <c r="F594" s="131">
        <f>'ПР 7 ведом'!G398</f>
        <v>13152.4</v>
      </c>
      <c r="G594" s="89"/>
      <c r="H594" s="89"/>
      <c r="I594" s="89"/>
      <c r="J594" s="89"/>
      <c r="K594" s="89"/>
      <c r="L594" s="89"/>
      <c r="M594" s="89"/>
    </row>
    <row r="595" spans="1:13" s="59" customFormat="1" ht="47.25" customHeight="1" x14ac:dyDescent="0.2">
      <c r="A595" s="61" t="s">
        <v>363</v>
      </c>
      <c r="B595" s="96" t="s">
        <v>353</v>
      </c>
      <c r="C595" s="94" t="s">
        <v>254</v>
      </c>
      <c r="D595" s="96"/>
      <c r="E595" s="96"/>
      <c r="F595" s="138">
        <f>F596</f>
        <v>700</v>
      </c>
      <c r="G595" s="89"/>
      <c r="H595" s="89"/>
      <c r="I595" s="89"/>
      <c r="J595" s="89"/>
      <c r="K595" s="89"/>
      <c r="L595" s="89"/>
      <c r="M595" s="89"/>
    </row>
    <row r="596" spans="1:13" s="59" customFormat="1" ht="11.25" x14ac:dyDescent="0.2">
      <c r="A596" s="83" t="s">
        <v>337</v>
      </c>
      <c r="B596" s="68" t="s">
        <v>353</v>
      </c>
      <c r="C596" s="67" t="s">
        <v>254</v>
      </c>
      <c r="D596" s="68" t="s">
        <v>356</v>
      </c>
      <c r="E596" s="68" t="s">
        <v>342</v>
      </c>
      <c r="F596" s="131">
        <f>F597</f>
        <v>700</v>
      </c>
      <c r="G596" s="89"/>
      <c r="H596" s="89"/>
      <c r="I596" s="89"/>
      <c r="J596" s="89"/>
      <c r="K596" s="89"/>
      <c r="L596" s="89"/>
      <c r="M596" s="89"/>
    </row>
    <row r="597" spans="1:13" s="59" customFormat="1" ht="11.25" x14ac:dyDescent="0.2">
      <c r="A597" s="66" t="s">
        <v>359</v>
      </c>
      <c r="B597" s="68" t="s">
        <v>353</v>
      </c>
      <c r="C597" s="67" t="s">
        <v>254</v>
      </c>
      <c r="D597" s="68" t="s">
        <v>364</v>
      </c>
      <c r="E597" s="68" t="s">
        <v>360</v>
      </c>
      <c r="F597" s="131">
        <f>F598</f>
        <v>700</v>
      </c>
      <c r="G597" s="89"/>
      <c r="H597" s="89"/>
      <c r="I597" s="89"/>
      <c r="J597" s="89"/>
      <c r="K597" s="89"/>
      <c r="L597" s="89"/>
      <c r="M597" s="89"/>
    </row>
    <row r="598" spans="1:13" s="52" customFormat="1" x14ac:dyDescent="0.2">
      <c r="A598" s="70" t="s">
        <v>361</v>
      </c>
      <c r="B598" s="68" t="s">
        <v>353</v>
      </c>
      <c r="C598" s="67" t="s">
        <v>254</v>
      </c>
      <c r="D598" s="68" t="s">
        <v>364</v>
      </c>
      <c r="E598" s="68" t="s">
        <v>362</v>
      </c>
      <c r="F598" s="131">
        <f>'ПР 7 ведом'!G402</f>
        <v>700</v>
      </c>
      <c r="G598" s="64"/>
      <c r="H598" s="148"/>
      <c r="I598" s="90"/>
      <c r="J598" s="90"/>
      <c r="K598" s="90"/>
      <c r="L598" s="90"/>
      <c r="M598" s="90"/>
    </row>
    <row r="599" spans="1:13" s="283" customFormat="1" x14ac:dyDescent="0.2">
      <c r="A599" s="61" t="s">
        <v>365</v>
      </c>
      <c r="B599" s="96">
        <v>14</v>
      </c>
      <c r="C599" s="94" t="s">
        <v>188</v>
      </c>
      <c r="D599" s="96"/>
      <c r="E599" s="96"/>
      <c r="F599" s="138">
        <f t="shared" ref="F599:F604" si="5">+F600</f>
        <v>68.900000000000006</v>
      </c>
      <c r="G599" s="64"/>
      <c r="H599" s="282"/>
      <c r="I599" s="282"/>
      <c r="J599" s="282"/>
      <c r="K599" s="282"/>
      <c r="L599" s="282"/>
      <c r="M599" s="282"/>
    </row>
    <row r="600" spans="1:13" s="52" customFormat="1" ht="15.75" customHeight="1" x14ac:dyDescent="0.2">
      <c r="A600" s="83" t="s">
        <v>337</v>
      </c>
      <c r="B600" s="84" t="s">
        <v>353</v>
      </c>
      <c r="C600" s="84" t="s">
        <v>188</v>
      </c>
      <c r="D600" s="84" t="s">
        <v>356</v>
      </c>
      <c r="E600" s="84" t="s">
        <v>184</v>
      </c>
      <c r="F600" s="135">
        <f t="shared" si="5"/>
        <v>68.900000000000006</v>
      </c>
      <c r="G600" s="65"/>
      <c r="H600" s="90"/>
      <c r="I600" s="90"/>
      <c r="J600" s="90"/>
      <c r="K600" s="90"/>
      <c r="L600" s="90"/>
      <c r="M600" s="90"/>
    </row>
    <row r="601" spans="1:13" s="52" customFormat="1" ht="20.25" customHeight="1" x14ac:dyDescent="0.2">
      <c r="A601" s="83" t="s">
        <v>366</v>
      </c>
      <c r="B601" s="84" t="s">
        <v>353</v>
      </c>
      <c r="C601" s="84" t="s">
        <v>188</v>
      </c>
      <c r="D601" s="84" t="s">
        <v>367</v>
      </c>
      <c r="E601" s="84" t="s">
        <v>184</v>
      </c>
      <c r="F601" s="135">
        <f t="shared" si="5"/>
        <v>68.900000000000006</v>
      </c>
      <c r="G601" s="65"/>
      <c r="H601" s="90"/>
      <c r="I601" s="90"/>
      <c r="J601" s="90"/>
      <c r="K601" s="90"/>
      <c r="L601" s="90"/>
      <c r="M601" s="90"/>
    </row>
    <row r="602" spans="1:13" s="52" customFormat="1" ht="14.25" customHeight="1" x14ac:dyDescent="0.2">
      <c r="A602" s="83" t="s">
        <v>368</v>
      </c>
      <c r="B602" s="84" t="s">
        <v>353</v>
      </c>
      <c r="C602" s="84" t="s">
        <v>188</v>
      </c>
      <c r="D602" s="84" t="s">
        <v>367</v>
      </c>
      <c r="E602" s="84" t="s">
        <v>184</v>
      </c>
      <c r="F602" s="135">
        <f t="shared" si="5"/>
        <v>68.900000000000006</v>
      </c>
      <c r="G602" s="65"/>
      <c r="H602" s="90"/>
      <c r="I602" s="90"/>
      <c r="J602" s="90"/>
      <c r="K602" s="90"/>
      <c r="L602" s="90"/>
      <c r="M602" s="90"/>
    </row>
    <row r="603" spans="1:13" s="52" customFormat="1" ht="12" customHeight="1" x14ac:dyDescent="0.2">
      <c r="A603" s="83" t="s">
        <v>337</v>
      </c>
      <c r="B603" s="84" t="s">
        <v>353</v>
      </c>
      <c r="C603" s="84" t="s">
        <v>188</v>
      </c>
      <c r="D603" s="84" t="s">
        <v>367</v>
      </c>
      <c r="E603" s="84" t="s">
        <v>342</v>
      </c>
      <c r="F603" s="135">
        <f t="shared" si="5"/>
        <v>68.900000000000006</v>
      </c>
      <c r="G603" s="65"/>
      <c r="H603" s="90"/>
      <c r="I603" s="90"/>
      <c r="J603" s="90"/>
      <c r="K603" s="90"/>
      <c r="L603" s="90"/>
      <c r="M603" s="90"/>
    </row>
    <row r="604" spans="1:13" s="52" customFormat="1" ht="12" customHeight="1" x14ac:dyDescent="0.2">
      <c r="A604" s="66" t="s">
        <v>359</v>
      </c>
      <c r="B604" s="84" t="s">
        <v>353</v>
      </c>
      <c r="C604" s="84" t="s">
        <v>188</v>
      </c>
      <c r="D604" s="84" t="s">
        <v>367</v>
      </c>
      <c r="E604" s="84" t="s">
        <v>370</v>
      </c>
      <c r="F604" s="135">
        <f t="shared" si="5"/>
        <v>68.900000000000006</v>
      </c>
      <c r="G604" s="65"/>
      <c r="H604" s="90"/>
      <c r="I604" s="90"/>
      <c r="J604" s="90"/>
      <c r="K604" s="90"/>
      <c r="L604" s="90"/>
      <c r="M604" s="90"/>
    </row>
    <row r="605" spans="1:13" s="52" customFormat="1" ht="33.75" x14ac:dyDescent="0.2">
      <c r="A605" s="70" t="s">
        <v>371</v>
      </c>
      <c r="B605" s="84" t="s">
        <v>353</v>
      </c>
      <c r="C605" s="84" t="s">
        <v>188</v>
      </c>
      <c r="D605" s="84" t="s">
        <v>367</v>
      </c>
      <c r="E605" s="84" t="s">
        <v>372</v>
      </c>
      <c r="F605" s="135">
        <f>'ПР 7 ведом'!G409</f>
        <v>68.900000000000006</v>
      </c>
      <c r="G605" s="64"/>
      <c r="H605" s="90"/>
      <c r="I605" s="90"/>
      <c r="J605" s="90"/>
      <c r="K605" s="90"/>
      <c r="L605" s="90"/>
      <c r="M605" s="90"/>
    </row>
    <row r="606" spans="1:13" s="52" customFormat="1" ht="13.5" customHeight="1" x14ac:dyDescent="0.2">
      <c r="A606" s="55"/>
      <c r="B606" s="60"/>
      <c r="C606" s="60"/>
      <c r="D606" s="60"/>
      <c r="E606" s="59"/>
      <c r="F606" s="274"/>
      <c r="G606" s="65"/>
      <c r="H606" s="90"/>
      <c r="I606" s="90"/>
      <c r="J606" s="90"/>
      <c r="K606" s="90"/>
      <c r="L606" s="90"/>
      <c r="M606" s="90"/>
    </row>
    <row r="607" spans="1:13" s="52" customFormat="1" ht="13.5" customHeight="1" x14ac:dyDescent="0.2">
      <c r="A607" s="55"/>
      <c r="B607" s="60"/>
      <c r="C607" s="60"/>
      <c r="D607" s="60"/>
      <c r="E607" s="59"/>
      <c r="F607" s="274"/>
      <c r="G607" s="65"/>
      <c r="H607" s="90"/>
      <c r="I607" s="90"/>
      <c r="J607" s="90"/>
      <c r="K607" s="90"/>
      <c r="L607" s="90"/>
      <c r="M607" s="90"/>
    </row>
    <row r="608" spans="1:13" s="52" customFormat="1" ht="12.75" customHeight="1" x14ac:dyDescent="0.2">
      <c r="A608" s="55"/>
      <c r="B608" s="60"/>
      <c r="C608" s="60"/>
      <c r="D608" s="60"/>
      <c r="E608" s="59"/>
      <c r="F608" s="274"/>
      <c r="G608" s="65"/>
      <c r="H608" s="90"/>
      <c r="I608" s="90"/>
      <c r="J608" s="90"/>
      <c r="K608" s="90"/>
      <c r="L608" s="90"/>
      <c r="M608" s="90"/>
    </row>
    <row r="609" spans="1:13" s="52" customFormat="1" ht="13.5" customHeight="1" x14ac:dyDescent="0.2">
      <c r="A609" s="55"/>
      <c r="B609" s="60"/>
      <c r="C609" s="60"/>
      <c r="D609" s="60"/>
      <c r="E609" s="59"/>
      <c r="F609" s="274"/>
      <c r="G609" s="64"/>
      <c r="H609" s="90"/>
      <c r="I609" s="90"/>
      <c r="J609" s="90"/>
      <c r="K609" s="90"/>
      <c r="L609" s="90"/>
      <c r="M609" s="90"/>
    </row>
    <row r="610" spans="1:13" s="52" customFormat="1" ht="15" customHeight="1" x14ac:dyDescent="0.2">
      <c r="A610" s="55"/>
      <c r="B610" s="60"/>
      <c r="C610" s="60"/>
      <c r="D610" s="60"/>
      <c r="E610" s="59"/>
      <c r="F610" s="274"/>
      <c r="G610" s="65"/>
      <c r="H610" s="90"/>
      <c r="I610" s="90"/>
      <c r="J610" s="90"/>
      <c r="K610" s="90"/>
      <c r="L610" s="90"/>
      <c r="M610" s="90"/>
    </row>
    <row r="611" spans="1:13" s="52" customFormat="1" x14ac:dyDescent="0.2">
      <c r="A611" s="55"/>
      <c r="B611" s="60"/>
      <c r="C611" s="60"/>
      <c r="D611" s="60"/>
      <c r="E611" s="59"/>
      <c r="F611" s="274"/>
      <c r="G611" s="65"/>
      <c r="H611" s="90"/>
      <c r="I611" s="90"/>
      <c r="J611" s="90"/>
      <c r="K611" s="90"/>
      <c r="L611" s="90"/>
      <c r="M611" s="90"/>
    </row>
    <row r="612" spans="1:13" s="52" customFormat="1" ht="62.25" customHeight="1" x14ac:dyDescent="0.2">
      <c r="A612" s="55"/>
      <c r="B612" s="60"/>
      <c r="C612" s="60"/>
      <c r="D612" s="60"/>
      <c r="E612" s="59"/>
      <c r="F612" s="274"/>
      <c r="G612" s="65"/>
      <c r="H612" s="90"/>
      <c r="I612" s="90"/>
      <c r="J612" s="90"/>
      <c r="K612" s="90"/>
      <c r="L612" s="90"/>
      <c r="M612" s="90"/>
    </row>
    <row r="613" spans="1:13" s="52" customFormat="1" ht="16.5" customHeight="1" x14ac:dyDescent="0.2">
      <c r="A613" s="55"/>
      <c r="B613" s="60"/>
      <c r="C613" s="60"/>
      <c r="D613" s="60"/>
      <c r="E613" s="59"/>
      <c r="F613" s="274"/>
      <c r="G613" s="65"/>
      <c r="H613" s="90"/>
      <c r="I613" s="90"/>
      <c r="J613" s="90"/>
      <c r="K613" s="90"/>
      <c r="L613" s="90"/>
      <c r="M613" s="90"/>
    </row>
    <row r="614" spans="1:13" s="52" customFormat="1" ht="16.5" customHeight="1" x14ac:dyDescent="0.2">
      <c r="A614" s="55"/>
      <c r="B614" s="60"/>
      <c r="C614" s="60"/>
      <c r="D614" s="60"/>
      <c r="E614" s="59"/>
      <c r="F614" s="274"/>
      <c r="G614" s="65"/>
      <c r="H614" s="90"/>
      <c r="I614" s="90"/>
      <c r="J614" s="90"/>
      <c r="K614" s="90"/>
      <c r="L614" s="90"/>
      <c r="M614" s="90"/>
    </row>
    <row r="615" spans="1:13" s="52" customFormat="1" ht="38.25" customHeight="1" x14ac:dyDescent="0.2">
      <c r="A615" s="55"/>
      <c r="B615" s="60"/>
      <c r="C615" s="60"/>
      <c r="D615" s="60"/>
      <c r="E615" s="59"/>
      <c r="F615" s="274"/>
      <c r="G615" s="65"/>
      <c r="H615" s="90"/>
      <c r="I615" s="90"/>
      <c r="J615" s="90"/>
      <c r="K615" s="90"/>
      <c r="L615" s="90"/>
      <c r="M615" s="90"/>
    </row>
  </sheetData>
  <autoFilter ref="B13:C605"/>
  <mergeCells count="10">
    <mergeCell ref="A7:F7"/>
    <mergeCell ref="A8:F8"/>
    <mergeCell ref="A10:F10"/>
    <mergeCell ref="A11:E11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15"/>
  <sheetViews>
    <sheetView view="pageBreakPreview" zoomScale="96" zoomScaleNormal="100" zoomScaleSheetLayoutView="96" workbookViewId="0">
      <selection activeCell="J23" sqref="J23"/>
    </sheetView>
  </sheetViews>
  <sheetFormatPr defaultRowHeight="12.75" x14ac:dyDescent="0.2"/>
  <cols>
    <col min="1" max="1" width="47.7109375" style="55" customWidth="1"/>
    <col min="2" max="2" width="3.7109375" style="60" customWidth="1"/>
    <col min="3" max="3" width="5.42578125" style="60" customWidth="1"/>
    <col min="4" max="4" width="11.5703125" style="60" customWidth="1"/>
    <col min="5" max="5" width="7.28515625" style="59" customWidth="1"/>
    <col min="6" max="7" width="10.140625" style="274" customWidth="1"/>
    <col min="8" max="8" width="10.5703125" style="273" customWidth="1"/>
    <col min="9" max="13" width="9.140625" style="273"/>
    <col min="14" max="256" width="9.140625" style="274"/>
    <col min="257" max="257" width="47.7109375" style="274" customWidth="1"/>
    <col min="258" max="258" width="3.7109375" style="274" customWidth="1"/>
    <col min="259" max="259" width="5.42578125" style="274" customWidth="1"/>
    <col min="260" max="260" width="11.5703125" style="274" customWidth="1"/>
    <col min="261" max="261" width="7.28515625" style="274" customWidth="1"/>
    <col min="262" max="262" width="10.140625" style="274" customWidth="1"/>
    <col min="263" max="512" width="9.140625" style="274"/>
    <col min="513" max="513" width="47.7109375" style="274" customWidth="1"/>
    <col min="514" max="514" width="3.7109375" style="274" customWidth="1"/>
    <col min="515" max="515" width="5.42578125" style="274" customWidth="1"/>
    <col min="516" max="516" width="11.5703125" style="274" customWidth="1"/>
    <col min="517" max="517" width="7.28515625" style="274" customWidth="1"/>
    <col min="518" max="518" width="10.140625" style="274" customWidth="1"/>
    <col min="519" max="768" width="9.140625" style="274"/>
    <col min="769" max="769" width="47.7109375" style="274" customWidth="1"/>
    <col min="770" max="770" width="3.7109375" style="274" customWidth="1"/>
    <col min="771" max="771" width="5.42578125" style="274" customWidth="1"/>
    <col min="772" max="772" width="11.5703125" style="274" customWidth="1"/>
    <col min="773" max="773" width="7.28515625" style="274" customWidth="1"/>
    <col min="774" max="774" width="10.140625" style="274" customWidth="1"/>
    <col min="775" max="1024" width="9.140625" style="274"/>
    <col min="1025" max="1025" width="47.7109375" style="274" customWidth="1"/>
    <col min="1026" max="1026" width="3.7109375" style="274" customWidth="1"/>
    <col min="1027" max="1027" width="5.42578125" style="274" customWidth="1"/>
    <col min="1028" max="1028" width="11.5703125" style="274" customWidth="1"/>
    <col min="1029" max="1029" width="7.28515625" style="274" customWidth="1"/>
    <col min="1030" max="1030" width="10.140625" style="274" customWidth="1"/>
    <col min="1031" max="1280" width="9.140625" style="274"/>
    <col min="1281" max="1281" width="47.7109375" style="274" customWidth="1"/>
    <col min="1282" max="1282" width="3.7109375" style="274" customWidth="1"/>
    <col min="1283" max="1283" width="5.42578125" style="274" customWidth="1"/>
    <col min="1284" max="1284" width="11.5703125" style="274" customWidth="1"/>
    <col min="1285" max="1285" width="7.28515625" style="274" customWidth="1"/>
    <col min="1286" max="1286" width="10.140625" style="274" customWidth="1"/>
    <col min="1287" max="1536" width="9.140625" style="274"/>
    <col min="1537" max="1537" width="47.7109375" style="274" customWidth="1"/>
    <col min="1538" max="1538" width="3.7109375" style="274" customWidth="1"/>
    <col min="1539" max="1539" width="5.42578125" style="274" customWidth="1"/>
    <col min="1540" max="1540" width="11.5703125" style="274" customWidth="1"/>
    <col min="1541" max="1541" width="7.28515625" style="274" customWidth="1"/>
    <col min="1542" max="1542" width="10.140625" style="274" customWidth="1"/>
    <col min="1543" max="1792" width="9.140625" style="274"/>
    <col min="1793" max="1793" width="47.7109375" style="274" customWidth="1"/>
    <col min="1794" max="1794" width="3.7109375" style="274" customWidth="1"/>
    <col min="1795" max="1795" width="5.42578125" style="274" customWidth="1"/>
    <col min="1796" max="1796" width="11.5703125" style="274" customWidth="1"/>
    <col min="1797" max="1797" width="7.28515625" style="274" customWidth="1"/>
    <col min="1798" max="1798" width="10.140625" style="274" customWidth="1"/>
    <col min="1799" max="2048" width="9.140625" style="274"/>
    <col min="2049" max="2049" width="47.7109375" style="274" customWidth="1"/>
    <col min="2050" max="2050" width="3.7109375" style="274" customWidth="1"/>
    <col min="2051" max="2051" width="5.42578125" style="274" customWidth="1"/>
    <col min="2052" max="2052" width="11.5703125" style="274" customWidth="1"/>
    <col min="2053" max="2053" width="7.28515625" style="274" customWidth="1"/>
    <col min="2054" max="2054" width="10.140625" style="274" customWidth="1"/>
    <col min="2055" max="2304" width="9.140625" style="274"/>
    <col min="2305" max="2305" width="47.7109375" style="274" customWidth="1"/>
    <col min="2306" max="2306" width="3.7109375" style="274" customWidth="1"/>
    <col min="2307" max="2307" width="5.42578125" style="274" customWidth="1"/>
    <col min="2308" max="2308" width="11.5703125" style="274" customWidth="1"/>
    <col min="2309" max="2309" width="7.28515625" style="274" customWidth="1"/>
    <col min="2310" max="2310" width="10.140625" style="274" customWidth="1"/>
    <col min="2311" max="2560" width="9.140625" style="274"/>
    <col min="2561" max="2561" width="47.7109375" style="274" customWidth="1"/>
    <col min="2562" max="2562" width="3.7109375" style="274" customWidth="1"/>
    <col min="2563" max="2563" width="5.42578125" style="274" customWidth="1"/>
    <col min="2564" max="2564" width="11.5703125" style="274" customWidth="1"/>
    <col min="2565" max="2565" width="7.28515625" style="274" customWidth="1"/>
    <col min="2566" max="2566" width="10.140625" style="274" customWidth="1"/>
    <col min="2567" max="2816" width="9.140625" style="274"/>
    <col min="2817" max="2817" width="47.7109375" style="274" customWidth="1"/>
    <col min="2818" max="2818" width="3.7109375" style="274" customWidth="1"/>
    <col min="2819" max="2819" width="5.42578125" style="274" customWidth="1"/>
    <col min="2820" max="2820" width="11.5703125" style="274" customWidth="1"/>
    <col min="2821" max="2821" width="7.28515625" style="274" customWidth="1"/>
    <col min="2822" max="2822" width="10.140625" style="274" customWidth="1"/>
    <col min="2823" max="3072" width="9.140625" style="274"/>
    <col min="3073" max="3073" width="47.7109375" style="274" customWidth="1"/>
    <col min="3074" max="3074" width="3.7109375" style="274" customWidth="1"/>
    <col min="3075" max="3075" width="5.42578125" style="274" customWidth="1"/>
    <col min="3076" max="3076" width="11.5703125" style="274" customWidth="1"/>
    <col min="3077" max="3077" width="7.28515625" style="274" customWidth="1"/>
    <col min="3078" max="3078" width="10.140625" style="274" customWidth="1"/>
    <col min="3079" max="3328" width="9.140625" style="274"/>
    <col min="3329" max="3329" width="47.7109375" style="274" customWidth="1"/>
    <col min="3330" max="3330" width="3.7109375" style="274" customWidth="1"/>
    <col min="3331" max="3331" width="5.42578125" style="274" customWidth="1"/>
    <col min="3332" max="3332" width="11.5703125" style="274" customWidth="1"/>
    <col min="3333" max="3333" width="7.28515625" style="274" customWidth="1"/>
    <col min="3334" max="3334" width="10.140625" style="274" customWidth="1"/>
    <col min="3335" max="3584" width="9.140625" style="274"/>
    <col min="3585" max="3585" width="47.7109375" style="274" customWidth="1"/>
    <col min="3586" max="3586" width="3.7109375" style="274" customWidth="1"/>
    <col min="3587" max="3587" width="5.42578125" style="274" customWidth="1"/>
    <col min="3588" max="3588" width="11.5703125" style="274" customWidth="1"/>
    <col min="3589" max="3589" width="7.28515625" style="274" customWidth="1"/>
    <col min="3590" max="3590" width="10.140625" style="274" customWidth="1"/>
    <col min="3591" max="3840" width="9.140625" style="274"/>
    <col min="3841" max="3841" width="47.7109375" style="274" customWidth="1"/>
    <col min="3842" max="3842" width="3.7109375" style="274" customWidth="1"/>
    <col min="3843" max="3843" width="5.42578125" style="274" customWidth="1"/>
    <col min="3844" max="3844" width="11.5703125" style="274" customWidth="1"/>
    <col min="3845" max="3845" width="7.28515625" style="274" customWidth="1"/>
    <col min="3846" max="3846" width="10.140625" style="274" customWidth="1"/>
    <col min="3847" max="4096" width="9.140625" style="274"/>
    <col min="4097" max="4097" width="47.7109375" style="274" customWidth="1"/>
    <col min="4098" max="4098" width="3.7109375" style="274" customWidth="1"/>
    <col min="4099" max="4099" width="5.42578125" style="274" customWidth="1"/>
    <col min="4100" max="4100" width="11.5703125" style="274" customWidth="1"/>
    <col min="4101" max="4101" width="7.28515625" style="274" customWidth="1"/>
    <col min="4102" max="4102" width="10.140625" style="274" customWidth="1"/>
    <col min="4103" max="4352" width="9.140625" style="274"/>
    <col min="4353" max="4353" width="47.7109375" style="274" customWidth="1"/>
    <col min="4354" max="4354" width="3.7109375" style="274" customWidth="1"/>
    <col min="4355" max="4355" width="5.42578125" style="274" customWidth="1"/>
    <col min="4356" max="4356" width="11.5703125" style="274" customWidth="1"/>
    <col min="4357" max="4357" width="7.28515625" style="274" customWidth="1"/>
    <col min="4358" max="4358" width="10.140625" style="274" customWidth="1"/>
    <col min="4359" max="4608" width="9.140625" style="274"/>
    <col min="4609" max="4609" width="47.7109375" style="274" customWidth="1"/>
    <col min="4610" max="4610" width="3.7109375" style="274" customWidth="1"/>
    <col min="4611" max="4611" width="5.42578125" style="274" customWidth="1"/>
    <col min="4612" max="4612" width="11.5703125" style="274" customWidth="1"/>
    <col min="4613" max="4613" width="7.28515625" style="274" customWidth="1"/>
    <col min="4614" max="4614" width="10.140625" style="274" customWidth="1"/>
    <col min="4615" max="4864" width="9.140625" style="274"/>
    <col min="4865" max="4865" width="47.7109375" style="274" customWidth="1"/>
    <col min="4866" max="4866" width="3.7109375" style="274" customWidth="1"/>
    <col min="4867" max="4867" width="5.42578125" style="274" customWidth="1"/>
    <col min="4868" max="4868" width="11.5703125" style="274" customWidth="1"/>
    <col min="4869" max="4869" width="7.28515625" style="274" customWidth="1"/>
    <col min="4870" max="4870" width="10.140625" style="274" customWidth="1"/>
    <col min="4871" max="5120" width="9.140625" style="274"/>
    <col min="5121" max="5121" width="47.7109375" style="274" customWidth="1"/>
    <col min="5122" max="5122" width="3.7109375" style="274" customWidth="1"/>
    <col min="5123" max="5123" width="5.42578125" style="274" customWidth="1"/>
    <col min="5124" max="5124" width="11.5703125" style="274" customWidth="1"/>
    <col min="5125" max="5125" width="7.28515625" style="274" customWidth="1"/>
    <col min="5126" max="5126" width="10.140625" style="274" customWidth="1"/>
    <col min="5127" max="5376" width="9.140625" style="274"/>
    <col min="5377" max="5377" width="47.7109375" style="274" customWidth="1"/>
    <col min="5378" max="5378" width="3.7109375" style="274" customWidth="1"/>
    <col min="5379" max="5379" width="5.42578125" style="274" customWidth="1"/>
    <col min="5380" max="5380" width="11.5703125" style="274" customWidth="1"/>
    <col min="5381" max="5381" width="7.28515625" style="274" customWidth="1"/>
    <col min="5382" max="5382" width="10.140625" style="274" customWidth="1"/>
    <col min="5383" max="5632" width="9.140625" style="274"/>
    <col min="5633" max="5633" width="47.7109375" style="274" customWidth="1"/>
    <col min="5634" max="5634" width="3.7109375" style="274" customWidth="1"/>
    <col min="5635" max="5635" width="5.42578125" style="274" customWidth="1"/>
    <col min="5636" max="5636" width="11.5703125" style="274" customWidth="1"/>
    <col min="5637" max="5637" width="7.28515625" style="274" customWidth="1"/>
    <col min="5638" max="5638" width="10.140625" style="274" customWidth="1"/>
    <col min="5639" max="5888" width="9.140625" style="274"/>
    <col min="5889" max="5889" width="47.7109375" style="274" customWidth="1"/>
    <col min="5890" max="5890" width="3.7109375" style="274" customWidth="1"/>
    <col min="5891" max="5891" width="5.42578125" style="274" customWidth="1"/>
    <col min="5892" max="5892" width="11.5703125" style="274" customWidth="1"/>
    <col min="5893" max="5893" width="7.28515625" style="274" customWidth="1"/>
    <col min="5894" max="5894" width="10.140625" style="274" customWidth="1"/>
    <col min="5895" max="6144" width="9.140625" style="274"/>
    <col min="6145" max="6145" width="47.7109375" style="274" customWidth="1"/>
    <col min="6146" max="6146" width="3.7109375" style="274" customWidth="1"/>
    <col min="6147" max="6147" width="5.42578125" style="274" customWidth="1"/>
    <col min="6148" max="6148" width="11.5703125" style="274" customWidth="1"/>
    <col min="6149" max="6149" width="7.28515625" style="274" customWidth="1"/>
    <col min="6150" max="6150" width="10.140625" style="274" customWidth="1"/>
    <col min="6151" max="6400" width="9.140625" style="274"/>
    <col min="6401" max="6401" width="47.7109375" style="274" customWidth="1"/>
    <col min="6402" max="6402" width="3.7109375" style="274" customWidth="1"/>
    <col min="6403" max="6403" width="5.42578125" style="274" customWidth="1"/>
    <col min="6404" max="6404" width="11.5703125" style="274" customWidth="1"/>
    <col min="6405" max="6405" width="7.28515625" style="274" customWidth="1"/>
    <col min="6406" max="6406" width="10.140625" style="274" customWidth="1"/>
    <col min="6407" max="6656" width="9.140625" style="274"/>
    <col min="6657" max="6657" width="47.7109375" style="274" customWidth="1"/>
    <col min="6658" max="6658" width="3.7109375" style="274" customWidth="1"/>
    <col min="6659" max="6659" width="5.42578125" style="274" customWidth="1"/>
    <col min="6660" max="6660" width="11.5703125" style="274" customWidth="1"/>
    <col min="6661" max="6661" width="7.28515625" style="274" customWidth="1"/>
    <col min="6662" max="6662" width="10.140625" style="274" customWidth="1"/>
    <col min="6663" max="6912" width="9.140625" style="274"/>
    <col min="6913" max="6913" width="47.7109375" style="274" customWidth="1"/>
    <col min="6914" max="6914" width="3.7109375" style="274" customWidth="1"/>
    <col min="6915" max="6915" width="5.42578125" style="274" customWidth="1"/>
    <col min="6916" max="6916" width="11.5703125" style="274" customWidth="1"/>
    <col min="6917" max="6917" width="7.28515625" style="274" customWidth="1"/>
    <col min="6918" max="6918" width="10.140625" style="274" customWidth="1"/>
    <col min="6919" max="7168" width="9.140625" style="274"/>
    <col min="7169" max="7169" width="47.7109375" style="274" customWidth="1"/>
    <col min="7170" max="7170" width="3.7109375" style="274" customWidth="1"/>
    <col min="7171" max="7171" width="5.42578125" style="274" customWidth="1"/>
    <col min="7172" max="7172" width="11.5703125" style="274" customWidth="1"/>
    <col min="7173" max="7173" width="7.28515625" style="274" customWidth="1"/>
    <col min="7174" max="7174" width="10.140625" style="274" customWidth="1"/>
    <col min="7175" max="7424" width="9.140625" style="274"/>
    <col min="7425" max="7425" width="47.7109375" style="274" customWidth="1"/>
    <col min="7426" max="7426" width="3.7109375" style="274" customWidth="1"/>
    <col min="7427" max="7427" width="5.42578125" style="274" customWidth="1"/>
    <col min="7428" max="7428" width="11.5703125" style="274" customWidth="1"/>
    <col min="7429" max="7429" width="7.28515625" style="274" customWidth="1"/>
    <col min="7430" max="7430" width="10.140625" style="274" customWidth="1"/>
    <col min="7431" max="7680" width="9.140625" style="274"/>
    <col min="7681" max="7681" width="47.7109375" style="274" customWidth="1"/>
    <col min="7682" max="7682" width="3.7109375" style="274" customWidth="1"/>
    <col min="7683" max="7683" width="5.42578125" style="274" customWidth="1"/>
    <col min="7684" max="7684" width="11.5703125" style="274" customWidth="1"/>
    <col min="7685" max="7685" width="7.28515625" style="274" customWidth="1"/>
    <col min="7686" max="7686" width="10.140625" style="274" customWidth="1"/>
    <col min="7687" max="7936" width="9.140625" style="274"/>
    <col min="7937" max="7937" width="47.7109375" style="274" customWidth="1"/>
    <col min="7938" max="7938" width="3.7109375" style="274" customWidth="1"/>
    <col min="7939" max="7939" width="5.42578125" style="274" customWidth="1"/>
    <col min="7940" max="7940" width="11.5703125" style="274" customWidth="1"/>
    <col min="7941" max="7941" width="7.28515625" style="274" customWidth="1"/>
    <col min="7942" max="7942" width="10.140625" style="274" customWidth="1"/>
    <col min="7943" max="8192" width="9.140625" style="274"/>
    <col min="8193" max="8193" width="47.7109375" style="274" customWidth="1"/>
    <col min="8194" max="8194" width="3.7109375" style="274" customWidth="1"/>
    <col min="8195" max="8195" width="5.42578125" style="274" customWidth="1"/>
    <col min="8196" max="8196" width="11.5703125" style="274" customWidth="1"/>
    <col min="8197" max="8197" width="7.28515625" style="274" customWidth="1"/>
    <col min="8198" max="8198" width="10.140625" style="274" customWidth="1"/>
    <col min="8199" max="8448" width="9.140625" style="274"/>
    <col min="8449" max="8449" width="47.7109375" style="274" customWidth="1"/>
    <col min="8450" max="8450" width="3.7109375" style="274" customWidth="1"/>
    <col min="8451" max="8451" width="5.42578125" style="274" customWidth="1"/>
    <col min="8452" max="8452" width="11.5703125" style="274" customWidth="1"/>
    <col min="8453" max="8453" width="7.28515625" style="274" customWidth="1"/>
    <col min="8454" max="8454" width="10.140625" style="274" customWidth="1"/>
    <col min="8455" max="8704" width="9.140625" style="274"/>
    <col min="8705" max="8705" width="47.7109375" style="274" customWidth="1"/>
    <col min="8706" max="8706" width="3.7109375" style="274" customWidth="1"/>
    <col min="8707" max="8707" width="5.42578125" style="274" customWidth="1"/>
    <col min="8708" max="8708" width="11.5703125" style="274" customWidth="1"/>
    <col min="8709" max="8709" width="7.28515625" style="274" customWidth="1"/>
    <col min="8710" max="8710" width="10.140625" style="274" customWidth="1"/>
    <col min="8711" max="8960" width="9.140625" style="274"/>
    <col min="8961" max="8961" width="47.7109375" style="274" customWidth="1"/>
    <col min="8962" max="8962" width="3.7109375" style="274" customWidth="1"/>
    <col min="8963" max="8963" width="5.42578125" style="274" customWidth="1"/>
    <col min="8964" max="8964" width="11.5703125" style="274" customWidth="1"/>
    <col min="8965" max="8965" width="7.28515625" style="274" customWidth="1"/>
    <col min="8966" max="8966" width="10.140625" style="274" customWidth="1"/>
    <col min="8967" max="9216" width="9.140625" style="274"/>
    <col min="9217" max="9217" width="47.7109375" style="274" customWidth="1"/>
    <col min="9218" max="9218" width="3.7109375" style="274" customWidth="1"/>
    <col min="9219" max="9219" width="5.42578125" style="274" customWidth="1"/>
    <col min="9220" max="9220" width="11.5703125" style="274" customWidth="1"/>
    <col min="9221" max="9221" width="7.28515625" style="274" customWidth="1"/>
    <col min="9222" max="9222" width="10.140625" style="274" customWidth="1"/>
    <col min="9223" max="9472" width="9.140625" style="274"/>
    <col min="9473" max="9473" width="47.7109375" style="274" customWidth="1"/>
    <col min="9474" max="9474" width="3.7109375" style="274" customWidth="1"/>
    <col min="9475" max="9475" width="5.42578125" style="274" customWidth="1"/>
    <col min="9476" max="9476" width="11.5703125" style="274" customWidth="1"/>
    <col min="9477" max="9477" width="7.28515625" style="274" customWidth="1"/>
    <col min="9478" max="9478" width="10.140625" style="274" customWidth="1"/>
    <col min="9479" max="9728" width="9.140625" style="274"/>
    <col min="9729" max="9729" width="47.7109375" style="274" customWidth="1"/>
    <col min="9730" max="9730" width="3.7109375" style="274" customWidth="1"/>
    <col min="9731" max="9731" width="5.42578125" style="274" customWidth="1"/>
    <col min="9732" max="9732" width="11.5703125" style="274" customWidth="1"/>
    <col min="9733" max="9733" width="7.28515625" style="274" customWidth="1"/>
    <col min="9734" max="9734" width="10.140625" style="274" customWidth="1"/>
    <col min="9735" max="9984" width="9.140625" style="274"/>
    <col min="9985" max="9985" width="47.7109375" style="274" customWidth="1"/>
    <col min="9986" max="9986" width="3.7109375" style="274" customWidth="1"/>
    <col min="9987" max="9987" width="5.42578125" style="274" customWidth="1"/>
    <col min="9988" max="9988" width="11.5703125" style="274" customWidth="1"/>
    <col min="9989" max="9989" width="7.28515625" style="274" customWidth="1"/>
    <col min="9990" max="9990" width="10.140625" style="274" customWidth="1"/>
    <col min="9991" max="10240" width="9.140625" style="274"/>
    <col min="10241" max="10241" width="47.7109375" style="274" customWidth="1"/>
    <col min="10242" max="10242" width="3.7109375" style="274" customWidth="1"/>
    <col min="10243" max="10243" width="5.42578125" style="274" customWidth="1"/>
    <col min="10244" max="10244" width="11.5703125" style="274" customWidth="1"/>
    <col min="10245" max="10245" width="7.28515625" style="274" customWidth="1"/>
    <col min="10246" max="10246" width="10.140625" style="274" customWidth="1"/>
    <col min="10247" max="10496" width="9.140625" style="274"/>
    <col min="10497" max="10497" width="47.7109375" style="274" customWidth="1"/>
    <col min="10498" max="10498" width="3.7109375" style="274" customWidth="1"/>
    <col min="10499" max="10499" width="5.42578125" style="274" customWidth="1"/>
    <col min="10500" max="10500" width="11.5703125" style="274" customWidth="1"/>
    <col min="10501" max="10501" width="7.28515625" style="274" customWidth="1"/>
    <col min="10502" max="10502" width="10.140625" style="274" customWidth="1"/>
    <col min="10503" max="10752" width="9.140625" style="274"/>
    <col min="10753" max="10753" width="47.7109375" style="274" customWidth="1"/>
    <col min="10754" max="10754" width="3.7109375" style="274" customWidth="1"/>
    <col min="10755" max="10755" width="5.42578125" style="274" customWidth="1"/>
    <col min="10756" max="10756" width="11.5703125" style="274" customWidth="1"/>
    <col min="10757" max="10757" width="7.28515625" style="274" customWidth="1"/>
    <col min="10758" max="10758" width="10.140625" style="274" customWidth="1"/>
    <col min="10759" max="11008" width="9.140625" style="274"/>
    <col min="11009" max="11009" width="47.7109375" style="274" customWidth="1"/>
    <col min="11010" max="11010" width="3.7109375" style="274" customWidth="1"/>
    <col min="11011" max="11011" width="5.42578125" style="274" customWidth="1"/>
    <col min="11012" max="11012" width="11.5703125" style="274" customWidth="1"/>
    <col min="11013" max="11013" width="7.28515625" style="274" customWidth="1"/>
    <col min="11014" max="11014" width="10.140625" style="274" customWidth="1"/>
    <col min="11015" max="11264" width="9.140625" style="274"/>
    <col min="11265" max="11265" width="47.7109375" style="274" customWidth="1"/>
    <col min="11266" max="11266" width="3.7109375" style="274" customWidth="1"/>
    <col min="11267" max="11267" width="5.42578125" style="274" customWidth="1"/>
    <col min="11268" max="11268" width="11.5703125" style="274" customWidth="1"/>
    <col min="11269" max="11269" width="7.28515625" style="274" customWidth="1"/>
    <col min="11270" max="11270" width="10.140625" style="274" customWidth="1"/>
    <col min="11271" max="11520" width="9.140625" style="274"/>
    <col min="11521" max="11521" width="47.7109375" style="274" customWidth="1"/>
    <col min="11522" max="11522" width="3.7109375" style="274" customWidth="1"/>
    <col min="11523" max="11523" width="5.42578125" style="274" customWidth="1"/>
    <col min="11524" max="11524" width="11.5703125" style="274" customWidth="1"/>
    <col min="11525" max="11525" width="7.28515625" style="274" customWidth="1"/>
    <col min="11526" max="11526" width="10.140625" style="274" customWidth="1"/>
    <col min="11527" max="11776" width="9.140625" style="274"/>
    <col min="11777" max="11777" width="47.7109375" style="274" customWidth="1"/>
    <col min="11778" max="11778" width="3.7109375" style="274" customWidth="1"/>
    <col min="11779" max="11779" width="5.42578125" style="274" customWidth="1"/>
    <col min="11780" max="11780" width="11.5703125" style="274" customWidth="1"/>
    <col min="11781" max="11781" width="7.28515625" style="274" customWidth="1"/>
    <col min="11782" max="11782" width="10.140625" style="274" customWidth="1"/>
    <col min="11783" max="12032" width="9.140625" style="274"/>
    <col min="12033" max="12033" width="47.7109375" style="274" customWidth="1"/>
    <col min="12034" max="12034" width="3.7109375" style="274" customWidth="1"/>
    <col min="12035" max="12035" width="5.42578125" style="274" customWidth="1"/>
    <col min="12036" max="12036" width="11.5703125" style="274" customWidth="1"/>
    <col min="12037" max="12037" width="7.28515625" style="274" customWidth="1"/>
    <col min="12038" max="12038" width="10.140625" style="274" customWidth="1"/>
    <col min="12039" max="12288" width="9.140625" style="274"/>
    <col min="12289" max="12289" width="47.7109375" style="274" customWidth="1"/>
    <col min="12290" max="12290" width="3.7109375" style="274" customWidth="1"/>
    <col min="12291" max="12291" width="5.42578125" style="274" customWidth="1"/>
    <col min="12292" max="12292" width="11.5703125" style="274" customWidth="1"/>
    <col min="12293" max="12293" width="7.28515625" style="274" customWidth="1"/>
    <col min="12294" max="12294" width="10.140625" style="274" customWidth="1"/>
    <col min="12295" max="12544" width="9.140625" style="274"/>
    <col min="12545" max="12545" width="47.7109375" style="274" customWidth="1"/>
    <col min="12546" max="12546" width="3.7109375" style="274" customWidth="1"/>
    <col min="12547" max="12547" width="5.42578125" style="274" customWidth="1"/>
    <col min="12548" max="12548" width="11.5703125" style="274" customWidth="1"/>
    <col min="12549" max="12549" width="7.28515625" style="274" customWidth="1"/>
    <col min="12550" max="12550" width="10.140625" style="274" customWidth="1"/>
    <col min="12551" max="12800" width="9.140625" style="274"/>
    <col min="12801" max="12801" width="47.7109375" style="274" customWidth="1"/>
    <col min="12802" max="12802" width="3.7109375" style="274" customWidth="1"/>
    <col min="12803" max="12803" width="5.42578125" style="274" customWidth="1"/>
    <col min="12804" max="12804" width="11.5703125" style="274" customWidth="1"/>
    <col min="12805" max="12805" width="7.28515625" style="274" customWidth="1"/>
    <col min="12806" max="12806" width="10.140625" style="274" customWidth="1"/>
    <col min="12807" max="13056" width="9.140625" style="274"/>
    <col min="13057" max="13057" width="47.7109375" style="274" customWidth="1"/>
    <col min="13058" max="13058" width="3.7109375" style="274" customWidth="1"/>
    <col min="13059" max="13059" width="5.42578125" style="274" customWidth="1"/>
    <col min="13060" max="13060" width="11.5703125" style="274" customWidth="1"/>
    <col min="13061" max="13061" width="7.28515625" style="274" customWidth="1"/>
    <col min="13062" max="13062" width="10.140625" style="274" customWidth="1"/>
    <col min="13063" max="13312" width="9.140625" style="274"/>
    <col min="13313" max="13313" width="47.7109375" style="274" customWidth="1"/>
    <col min="13314" max="13314" width="3.7109375" style="274" customWidth="1"/>
    <col min="13315" max="13315" width="5.42578125" style="274" customWidth="1"/>
    <col min="13316" max="13316" width="11.5703125" style="274" customWidth="1"/>
    <col min="13317" max="13317" width="7.28515625" style="274" customWidth="1"/>
    <col min="13318" max="13318" width="10.140625" style="274" customWidth="1"/>
    <col min="13319" max="13568" width="9.140625" style="274"/>
    <col min="13569" max="13569" width="47.7109375" style="274" customWidth="1"/>
    <col min="13570" max="13570" width="3.7109375" style="274" customWidth="1"/>
    <col min="13571" max="13571" width="5.42578125" style="274" customWidth="1"/>
    <col min="13572" max="13572" width="11.5703125" style="274" customWidth="1"/>
    <col min="13573" max="13573" width="7.28515625" style="274" customWidth="1"/>
    <col min="13574" max="13574" width="10.140625" style="274" customWidth="1"/>
    <col min="13575" max="13824" width="9.140625" style="274"/>
    <col min="13825" max="13825" width="47.7109375" style="274" customWidth="1"/>
    <col min="13826" max="13826" width="3.7109375" style="274" customWidth="1"/>
    <col min="13827" max="13827" width="5.42578125" style="274" customWidth="1"/>
    <col min="13828" max="13828" width="11.5703125" style="274" customWidth="1"/>
    <col min="13829" max="13829" width="7.28515625" style="274" customWidth="1"/>
    <col min="13830" max="13830" width="10.140625" style="274" customWidth="1"/>
    <col min="13831" max="14080" width="9.140625" style="274"/>
    <col min="14081" max="14081" width="47.7109375" style="274" customWidth="1"/>
    <col min="14082" max="14082" width="3.7109375" style="274" customWidth="1"/>
    <col min="14083" max="14083" width="5.42578125" style="274" customWidth="1"/>
    <col min="14084" max="14084" width="11.5703125" style="274" customWidth="1"/>
    <col min="14085" max="14085" width="7.28515625" style="274" customWidth="1"/>
    <col min="14086" max="14086" width="10.140625" style="274" customWidth="1"/>
    <col min="14087" max="14336" width="9.140625" style="274"/>
    <col min="14337" max="14337" width="47.7109375" style="274" customWidth="1"/>
    <col min="14338" max="14338" width="3.7109375" style="274" customWidth="1"/>
    <col min="14339" max="14339" width="5.42578125" style="274" customWidth="1"/>
    <col min="14340" max="14340" width="11.5703125" style="274" customWidth="1"/>
    <col min="14341" max="14341" width="7.28515625" style="274" customWidth="1"/>
    <col min="14342" max="14342" width="10.140625" style="274" customWidth="1"/>
    <col min="14343" max="14592" width="9.140625" style="274"/>
    <col min="14593" max="14593" width="47.7109375" style="274" customWidth="1"/>
    <col min="14594" max="14594" width="3.7109375" style="274" customWidth="1"/>
    <col min="14595" max="14595" width="5.42578125" style="274" customWidth="1"/>
    <col min="14596" max="14596" width="11.5703125" style="274" customWidth="1"/>
    <col min="14597" max="14597" width="7.28515625" style="274" customWidth="1"/>
    <col min="14598" max="14598" width="10.140625" style="274" customWidth="1"/>
    <col min="14599" max="14848" width="9.140625" style="274"/>
    <col min="14849" max="14849" width="47.7109375" style="274" customWidth="1"/>
    <col min="14850" max="14850" width="3.7109375" style="274" customWidth="1"/>
    <col min="14851" max="14851" width="5.42578125" style="274" customWidth="1"/>
    <col min="14852" max="14852" width="11.5703125" style="274" customWidth="1"/>
    <col min="14853" max="14853" width="7.28515625" style="274" customWidth="1"/>
    <col min="14854" max="14854" width="10.140625" style="274" customWidth="1"/>
    <col min="14855" max="15104" width="9.140625" style="274"/>
    <col min="15105" max="15105" width="47.7109375" style="274" customWidth="1"/>
    <col min="15106" max="15106" width="3.7109375" style="274" customWidth="1"/>
    <col min="15107" max="15107" width="5.42578125" style="274" customWidth="1"/>
    <col min="15108" max="15108" width="11.5703125" style="274" customWidth="1"/>
    <col min="15109" max="15109" width="7.28515625" style="274" customWidth="1"/>
    <col min="15110" max="15110" width="10.140625" style="274" customWidth="1"/>
    <col min="15111" max="15360" width="9.140625" style="274"/>
    <col min="15361" max="15361" width="47.7109375" style="274" customWidth="1"/>
    <col min="15362" max="15362" width="3.7109375" style="274" customWidth="1"/>
    <col min="15363" max="15363" width="5.42578125" style="274" customWidth="1"/>
    <col min="15364" max="15364" width="11.5703125" style="274" customWidth="1"/>
    <col min="15365" max="15365" width="7.28515625" style="274" customWidth="1"/>
    <col min="15366" max="15366" width="10.140625" style="274" customWidth="1"/>
    <col min="15367" max="15616" width="9.140625" style="274"/>
    <col min="15617" max="15617" width="47.7109375" style="274" customWidth="1"/>
    <col min="15618" max="15618" width="3.7109375" style="274" customWidth="1"/>
    <col min="15619" max="15619" width="5.42578125" style="274" customWidth="1"/>
    <col min="15620" max="15620" width="11.5703125" style="274" customWidth="1"/>
    <col min="15621" max="15621" width="7.28515625" style="274" customWidth="1"/>
    <col min="15622" max="15622" width="10.140625" style="274" customWidth="1"/>
    <col min="15623" max="15872" width="9.140625" style="274"/>
    <col min="15873" max="15873" width="47.7109375" style="274" customWidth="1"/>
    <col min="15874" max="15874" width="3.7109375" style="274" customWidth="1"/>
    <col min="15875" max="15875" width="5.42578125" style="274" customWidth="1"/>
    <col min="15876" max="15876" width="11.5703125" style="274" customWidth="1"/>
    <col min="15877" max="15877" width="7.28515625" style="274" customWidth="1"/>
    <col min="15878" max="15878" width="10.140625" style="274" customWidth="1"/>
    <col min="15879" max="16128" width="9.140625" style="274"/>
    <col min="16129" max="16129" width="47.7109375" style="274" customWidth="1"/>
    <col min="16130" max="16130" width="3.7109375" style="274" customWidth="1"/>
    <col min="16131" max="16131" width="5.42578125" style="274" customWidth="1"/>
    <col min="16132" max="16132" width="11.5703125" style="274" customWidth="1"/>
    <col min="16133" max="16133" width="7.28515625" style="274" customWidth="1"/>
    <col min="16134" max="16134" width="10.140625" style="274" customWidth="1"/>
    <col min="16135" max="16384" width="9.140625" style="274"/>
  </cols>
  <sheetData>
    <row r="1" spans="1:13" x14ac:dyDescent="0.2">
      <c r="A1" s="446" t="s">
        <v>774</v>
      </c>
      <c r="B1" s="446"/>
      <c r="C1" s="446"/>
      <c r="D1" s="446"/>
      <c r="E1" s="446"/>
      <c r="F1" s="446"/>
      <c r="G1" s="273"/>
    </row>
    <row r="2" spans="1:13" x14ac:dyDescent="0.2">
      <c r="A2" s="446" t="s">
        <v>640</v>
      </c>
      <c r="B2" s="446"/>
      <c r="C2" s="446"/>
      <c r="D2" s="446"/>
      <c r="E2" s="446"/>
      <c r="F2" s="446"/>
      <c r="G2" s="273"/>
    </row>
    <row r="3" spans="1:13" x14ac:dyDescent="0.2">
      <c r="A3" s="446" t="s">
        <v>641</v>
      </c>
      <c r="B3" s="446"/>
      <c r="C3" s="446"/>
      <c r="D3" s="446"/>
      <c r="E3" s="446"/>
      <c r="F3" s="446"/>
      <c r="G3" s="273"/>
    </row>
    <row r="4" spans="1:13" x14ac:dyDescent="0.2">
      <c r="A4" s="446" t="s">
        <v>642</v>
      </c>
      <c r="B4" s="446"/>
      <c r="C4" s="446"/>
      <c r="D4" s="446"/>
      <c r="E4" s="446"/>
      <c r="F4" s="446"/>
      <c r="G4" s="273"/>
    </row>
    <row r="5" spans="1:13" x14ac:dyDescent="0.2">
      <c r="A5" s="446" t="s">
        <v>676</v>
      </c>
      <c r="B5" s="446"/>
      <c r="C5" s="446"/>
      <c r="D5" s="446"/>
      <c r="E5" s="446"/>
      <c r="F5" s="446"/>
      <c r="G5" s="273"/>
    </row>
    <row r="6" spans="1:13" x14ac:dyDescent="0.2">
      <c r="A6" s="446" t="s">
        <v>643</v>
      </c>
      <c r="B6" s="446"/>
      <c r="C6" s="446"/>
      <c r="D6" s="446"/>
      <c r="E6" s="446"/>
      <c r="F6" s="446"/>
      <c r="G6" s="273"/>
    </row>
    <row r="7" spans="1:13" x14ac:dyDescent="0.2">
      <c r="A7" s="446" t="s">
        <v>642</v>
      </c>
      <c r="B7" s="446"/>
      <c r="C7" s="446"/>
      <c r="D7" s="446"/>
      <c r="E7" s="446"/>
      <c r="F7" s="446"/>
      <c r="G7" s="273"/>
    </row>
    <row r="8" spans="1:13" x14ac:dyDescent="0.2">
      <c r="A8" s="446" t="s">
        <v>673</v>
      </c>
      <c r="B8" s="446"/>
      <c r="C8" s="446"/>
      <c r="D8" s="446"/>
      <c r="E8" s="446"/>
      <c r="F8" s="446"/>
      <c r="G8" s="273"/>
    </row>
    <row r="10" spans="1:13" ht="28.5" customHeight="1" x14ac:dyDescent="0.2">
      <c r="A10" s="447" t="s">
        <v>644</v>
      </c>
      <c r="B10" s="447"/>
      <c r="C10" s="447"/>
      <c r="D10" s="447"/>
      <c r="E10" s="447"/>
      <c r="F10" s="447"/>
      <c r="G10" s="273"/>
    </row>
    <row r="11" spans="1:13" ht="28.5" customHeight="1" x14ac:dyDescent="0.2">
      <c r="A11" s="448" t="s">
        <v>675</v>
      </c>
      <c r="B11" s="447"/>
      <c r="C11" s="447"/>
      <c r="D11" s="447"/>
      <c r="E11" s="447"/>
    </row>
    <row r="12" spans="1:13" x14ac:dyDescent="0.2">
      <c r="E12" s="275"/>
      <c r="F12" s="275"/>
      <c r="G12" s="275" t="s">
        <v>109</v>
      </c>
    </row>
    <row r="13" spans="1:13" s="52" customFormat="1" ht="21" x14ac:dyDescent="0.2">
      <c r="A13" s="97" t="s">
        <v>110</v>
      </c>
      <c r="B13" s="96" t="s">
        <v>112</v>
      </c>
      <c r="C13" s="94" t="s">
        <v>113</v>
      </c>
      <c r="D13" s="96" t="s">
        <v>114</v>
      </c>
      <c r="E13" s="96" t="s">
        <v>115</v>
      </c>
      <c r="F13" s="272" t="s">
        <v>668</v>
      </c>
      <c r="G13" s="272" t="s">
        <v>669</v>
      </c>
      <c r="H13" s="90"/>
      <c r="I13" s="90"/>
      <c r="J13" s="90"/>
      <c r="K13" s="90"/>
      <c r="L13" s="90"/>
      <c r="M13" s="90"/>
    </row>
    <row r="14" spans="1:13" s="283" customFormat="1" ht="15" x14ac:dyDescent="0.25">
      <c r="A14" s="277" t="s">
        <v>116</v>
      </c>
      <c r="B14" s="278"/>
      <c r="C14" s="62"/>
      <c r="D14" s="278"/>
      <c r="E14" s="278"/>
      <c r="F14" s="279">
        <f>F15+F119+F134+F160+F250+F265+F409++F462+F470+F567+F574+F581+F588+F606</f>
        <v>444737.35080000007</v>
      </c>
      <c r="G14" s="279">
        <f>G15+G119+G134+G160+G250+G265+G409++G462+G470+G567+G574+G581+G588+G606</f>
        <v>435880.19420000009</v>
      </c>
      <c r="H14" s="48">
        <v>456140.9</v>
      </c>
      <c r="I14" s="2">
        <v>458821.3</v>
      </c>
      <c r="J14" s="281"/>
      <c r="K14" s="282"/>
      <c r="L14" s="282"/>
      <c r="M14" s="282"/>
    </row>
    <row r="15" spans="1:13" s="52" customFormat="1" x14ac:dyDescent="0.2">
      <c r="A15" s="61" t="s">
        <v>485</v>
      </c>
      <c r="B15" s="96" t="s">
        <v>122</v>
      </c>
      <c r="C15" s="94" t="s">
        <v>182</v>
      </c>
      <c r="D15" s="96" t="s">
        <v>183</v>
      </c>
      <c r="E15" s="96" t="s">
        <v>184</v>
      </c>
      <c r="F15" s="138">
        <f>F16+F23+F36+F58+F63+F90+F95</f>
        <v>23101.492399999999</v>
      </c>
      <c r="G15" s="138">
        <f>G16+G23+G36+G58+G63+G90+G95</f>
        <v>22294.553199999998</v>
      </c>
      <c r="H15" s="148">
        <f>H14-F14</f>
        <v>11403.54919999995</v>
      </c>
      <c r="I15" s="148">
        <f>I14-G14</f>
        <v>22941.105799999903</v>
      </c>
      <c r="J15" s="90"/>
      <c r="K15" s="90"/>
      <c r="L15" s="90"/>
      <c r="M15" s="90"/>
    </row>
    <row r="16" spans="1:13" s="52" customFormat="1" ht="21" x14ac:dyDescent="0.2">
      <c r="A16" s="61" t="s">
        <v>486</v>
      </c>
      <c r="B16" s="96" t="s">
        <v>122</v>
      </c>
      <c r="C16" s="94" t="s">
        <v>254</v>
      </c>
      <c r="D16" s="96" t="s">
        <v>183</v>
      </c>
      <c r="E16" s="96" t="s">
        <v>184</v>
      </c>
      <c r="F16" s="138">
        <f t="shared" ref="F16:G19" si="0">F17</f>
        <v>821.35360000000003</v>
      </c>
      <c r="G16" s="138">
        <f t="shared" si="0"/>
        <v>804.77920000000017</v>
      </c>
      <c r="H16" s="148"/>
      <c r="I16" s="148"/>
      <c r="J16" s="90"/>
      <c r="K16" s="90"/>
      <c r="L16" s="90"/>
      <c r="M16" s="90"/>
    </row>
    <row r="17" spans="1:13" s="52" customFormat="1" ht="15.75" customHeight="1" x14ac:dyDescent="0.2">
      <c r="A17" s="66" t="s">
        <v>487</v>
      </c>
      <c r="B17" s="68" t="s">
        <v>122</v>
      </c>
      <c r="C17" s="67" t="s">
        <v>254</v>
      </c>
      <c r="D17" s="68" t="s">
        <v>488</v>
      </c>
      <c r="E17" s="68" t="s">
        <v>184</v>
      </c>
      <c r="F17" s="131">
        <f t="shared" si="0"/>
        <v>821.35360000000003</v>
      </c>
      <c r="G17" s="131">
        <f t="shared" si="0"/>
        <v>804.77920000000017</v>
      </c>
      <c r="H17" s="90"/>
      <c r="I17" s="90"/>
      <c r="J17" s="90"/>
      <c r="K17" s="90"/>
      <c r="L17" s="90"/>
      <c r="M17" s="90"/>
    </row>
    <row r="18" spans="1:13" s="52" customFormat="1" ht="24.75" customHeight="1" x14ac:dyDescent="0.2">
      <c r="A18" s="82" t="s">
        <v>230</v>
      </c>
      <c r="B18" s="68" t="s">
        <v>122</v>
      </c>
      <c r="C18" s="67" t="s">
        <v>254</v>
      </c>
      <c r="D18" s="68" t="s">
        <v>489</v>
      </c>
      <c r="E18" s="68"/>
      <c r="F18" s="131">
        <f t="shared" si="0"/>
        <v>821.35360000000003</v>
      </c>
      <c r="G18" s="131">
        <f t="shared" si="0"/>
        <v>804.77920000000017</v>
      </c>
      <c r="H18" s="90"/>
      <c r="I18" s="90"/>
      <c r="J18" s="90"/>
      <c r="K18" s="90"/>
      <c r="L18" s="90"/>
      <c r="M18" s="90"/>
    </row>
    <row r="19" spans="1:13" s="283" customFormat="1" ht="45" x14ac:dyDescent="0.2">
      <c r="A19" s="66" t="s">
        <v>139</v>
      </c>
      <c r="B19" s="68" t="s">
        <v>122</v>
      </c>
      <c r="C19" s="67" t="s">
        <v>254</v>
      </c>
      <c r="D19" s="68" t="s">
        <v>489</v>
      </c>
      <c r="E19" s="68" t="s">
        <v>140</v>
      </c>
      <c r="F19" s="131">
        <f t="shared" si="0"/>
        <v>821.35360000000003</v>
      </c>
      <c r="G19" s="131">
        <f t="shared" si="0"/>
        <v>804.77920000000017</v>
      </c>
      <c r="H19" s="282"/>
      <c r="I19" s="282"/>
      <c r="J19" s="282"/>
      <c r="K19" s="282"/>
      <c r="L19" s="282"/>
      <c r="M19" s="282"/>
    </row>
    <row r="20" spans="1:13" s="52" customFormat="1" ht="23.25" customHeight="1" x14ac:dyDescent="0.2">
      <c r="A20" s="66" t="s">
        <v>168</v>
      </c>
      <c r="B20" s="68" t="s">
        <v>122</v>
      </c>
      <c r="C20" s="67" t="s">
        <v>254</v>
      </c>
      <c r="D20" s="68" t="s">
        <v>489</v>
      </c>
      <c r="E20" s="68" t="s">
        <v>232</v>
      </c>
      <c r="F20" s="131">
        <f>F21+F22</f>
        <v>821.35360000000003</v>
      </c>
      <c r="G20" s="131">
        <f>G21+G22</f>
        <v>804.77920000000017</v>
      </c>
      <c r="H20" s="90"/>
      <c r="I20" s="90"/>
      <c r="J20" s="90"/>
      <c r="K20" s="90"/>
      <c r="L20" s="90"/>
      <c r="M20" s="90"/>
    </row>
    <row r="21" spans="1:13" s="52" customFormat="1" ht="11.25" customHeight="1" x14ac:dyDescent="0.2">
      <c r="A21" s="69" t="s">
        <v>169</v>
      </c>
      <c r="B21" s="68" t="s">
        <v>122</v>
      </c>
      <c r="C21" s="67" t="s">
        <v>254</v>
      </c>
      <c r="D21" s="68" t="s">
        <v>489</v>
      </c>
      <c r="E21" s="68" t="s">
        <v>233</v>
      </c>
      <c r="F21" s="131">
        <f>'ПР 8 ведом'!G624</f>
        <v>630.82240000000002</v>
      </c>
      <c r="G21" s="131">
        <f>'ПР 8 ведом'!H624</f>
        <v>618.09280000000012</v>
      </c>
      <c r="H21" s="90"/>
      <c r="I21" s="90"/>
      <c r="J21" s="90"/>
      <c r="K21" s="90"/>
      <c r="L21" s="90"/>
      <c r="M21" s="90"/>
    </row>
    <row r="22" spans="1:13" s="52" customFormat="1" ht="33.75" customHeight="1" x14ac:dyDescent="0.2">
      <c r="A22" s="69" t="s">
        <v>170</v>
      </c>
      <c r="B22" s="68" t="s">
        <v>122</v>
      </c>
      <c r="C22" s="67" t="s">
        <v>254</v>
      </c>
      <c r="D22" s="68" t="s">
        <v>489</v>
      </c>
      <c r="E22" s="68">
        <v>129</v>
      </c>
      <c r="F22" s="131">
        <f>'ПР 8 ведом'!G625</f>
        <v>190.53119999999998</v>
      </c>
      <c r="G22" s="131">
        <f>'ПР 8 ведом'!H625</f>
        <v>186.68640000000002</v>
      </c>
      <c r="H22" s="90"/>
      <c r="I22" s="90"/>
      <c r="J22" s="90"/>
      <c r="K22" s="90"/>
      <c r="L22" s="90"/>
      <c r="M22" s="90"/>
    </row>
    <row r="23" spans="1:13" s="52" customFormat="1" ht="33.75" customHeight="1" x14ac:dyDescent="0.2">
      <c r="A23" s="61" t="s">
        <v>490</v>
      </c>
      <c r="B23" s="96" t="s">
        <v>122</v>
      </c>
      <c r="C23" s="94" t="s">
        <v>188</v>
      </c>
      <c r="D23" s="96" t="s">
        <v>183</v>
      </c>
      <c r="E23" s="96" t="s">
        <v>184</v>
      </c>
      <c r="F23" s="138">
        <f>F24</f>
        <v>715.02719999999988</v>
      </c>
      <c r="G23" s="138">
        <f>G24</f>
        <v>700.59840000000008</v>
      </c>
      <c r="H23" s="148"/>
      <c r="I23" s="90"/>
      <c r="J23" s="90"/>
      <c r="K23" s="90"/>
      <c r="L23" s="90"/>
      <c r="M23" s="90"/>
    </row>
    <row r="24" spans="1:13" s="52" customFormat="1" ht="16.5" customHeight="1" x14ac:dyDescent="0.2">
      <c r="A24" s="66" t="s">
        <v>645</v>
      </c>
      <c r="B24" s="68" t="s">
        <v>122</v>
      </c>
      <c r="C24" s="67" t="s">
        <v>188</v>
      </c>
      <c r="D24" s="68" t="s">
        <v>491</v>
      </c>
      <c r="E24" s="68" t="s">
        <v>184</v>
      </c>
      <c r="F24" s="131">
        <f>F25+F29+F32</f>
        <v>715.02719999999988</v>
      </c>
      <c r="G24" s="131">
        <f>G25+G29+G32</f>
        <v>700.59840000000008</v>
      </c>
      <c r="H24" s="90"/>
      <c r="I24" s="90"/>
      <c r="J24" s="90"/>
      <c r="K24" s="90"/>
      <c r="L24" s="90"/>
      <c r="M24" s="90"/>
    </row>
    <row r="25" spans="1:13" s="52" customFormat="1" ht="45" x14ac:dyDescent="0.2">
      <c r="A25" s="66" t="s">
        <v>139</v>
      </c>
      <c r="B25" s="68" t="s">
        <v>122</v>
      </c>
      <c r="C25" s="67" t="s">
        <v>188</v>
      </c>
      <c r="D25" s="68" t="s">
        <v>492</v>
      </c>
      <c r="E25" s="68" t="s">
        <v>140</v>
      </c>
      <c r="F25" s="131">
        <f>F26</f>
        <v>625.82719999999995</v>
      </c>
      <c r="G25" s="131">
        <f>G26</f>
        <v>613.19840000000011</v>
      </c>
      <c r="H25" s="90"/>
      <c r="I25" s="90"/>
      <c r="J25" s="90"/>
      <c r="K25" s="90"/>
      <c r="L25" s="90"/>
      <c r="M25" s="90"/>
    </row>
    <row r="26" spans="1:13" s="52" customFormat="1" ht="21.75" customHeight="1" x14ac:dyDescent="0.2">
      <c r="A26" s="66" t="s">
        <v>168</v>
      </c>
      <c r="B26" s="68" t="s">
        <v>122</v>
      </c>
      <c r="C26" s="67" t="s">
        <v>188</v>
      </c>
      <c r="D26" s="68" t="s">
        <v>492</v>
      </c>
      <c r="E26" s="68" t="s">
        <v>232</v>
      </c>
      <c r="F26" s="131">
        <f>F27+F28</f>
        <v>625.82719999999995</v>
      </c>
      <c r="G26" s="131">
        <f>G27+G28</f>
        <v>613.19840000000011</v>
      </c>
      <c r="H26" s="90"/>
      <c r="I26" s="90"/>
      <c r="J26" s="90"/>
      <c r="K26" s="90"/>
      <c r="L26" s="90"/>
      <c r="M26" s="90"/>
    </row>
    <row r="27" spans="1:13" s="52" customFormat="1" ht="14.25" customHeight="1" x14ac:dyDescent="0.2">
      <c r="A27" s="69" t="s">
        <v>169</v>
      </c>
      <c r="B27" s="68" t="s">
        <v>122</v>
      </c>
      <c r="C27" s="67" t="s">
        <v>188</v>
      </c>
      <c r="D27" s="68" t="s">
        <v>492</v>
      </c>
      <c r="E27" s="68" t="s">
        <v>233</v>
      </c>
      <c r="F27" s="131">
        <f>'ПР 8 ведом'!G630</f>
        <v>480.69880000000001</v>
      </c>
      <c r="G27" s="131">
        <f>'ПР 8 ведом'!H630</f>
        <v>470.99860000000007</v>
      </c>
      <c r="H27" s="90"/>
      <c r="I27" s="90"/>
      <c r="J27" s="90"/>
      <c r="K27" s="90"/>
      <c r="L27" s="90"/>
      <c r="M27" s="90"/>
    </row>
    <row r="28" spans="1:13" s="52" customFormat="1" ht="36" customHeight="1" x14ac:dyDescent="0.2">
      <c r="A28" s="69" t="s">
        <v>170</v>
      </c>
      <c r="B28" s="68" t="s">
        <v>122</v>
      </c>
      <c r="C28" s="67" t="s">
        <v>188</v>
      </c>
      <c r="D28" s="68" t="s">
        <v>492</v>
      </c>
      <c r="E28" s="68">
        <v>129</v>
      </c>
      <c r="F28" s="131">
        <f>'ПР 8 ведом'!G631</f>
        <v>145.1284</v>
      </c>
      <c r="G28" s="131">
        <f>'ПР 8 ведом'!H631</f>
        <v>142.19980000000001</v>
      </c>
      <c r="H28" s="90"/>
      <c r="I28" s="90"/>
      <c r="J28" s="90"/>
      <c r="K28" s="90"/>
      <c r="L28" s="90"/>
      <c r="M28" s="90"/>
    </row>
    <row r="29" spans="1:13" s="52" customFormat="1" ht="18" customHeight="1" x14ac:dyDescent="0.2">
      <c r="A29" s="83" t="s">
        <v>139</v>
      </c>
      <c r="B29" s="84" t="s">
        <v>122</v>
      </c>
      <c r="C29" s="87" t="s">
        <v>188</v>
      </c>
      <c r="D29" s="84" t="s">
        <v>493</v>
      </c>
      <c r="E29" s="84">
        <v>100</v>
      </c>
      <c r="F29" s="131">
        <f>F30</f>
        <v>16.412800000000001</v>
      </c>
      <c r="G29" s="131">
        <f>G30</f>
        <v>16.081600000000002</v>
      </c>
      <c r="H29" s="90"/>
      <c r="I29" s="90"/>
      <c r="J29" s="90"/>
      <c r="K29" s="90"/>
      <c r="L29" s="90"/>
      <c r="M29" s="90"/>
    </row>
    <row r="30" spans="1:13" s="52" customFormat="1" ht="15.75" customHeight="1" x14ac:dyDescent="0.2">
      <c r="A30" s="83" t="s">
        <v>168</v>
      </c>
      <c r="B30" s="84" t="s">
        <v>122</v>
      </c>
      <c r="C30" s="87" t="s">
        <v>188</v>
      </c>
      <c r="D30" s="84" t="s">
        <v>493</v>
      </c>
      <c r="E30" s="84">
        <v>120</v>
      </c>
      <c r="F30" s="131">
        <f>F31</f>
        <v>16.412800000000001</v>
      </c>
      <c r="G30" s="131">
        <f>G31</f>
        <v>16.081600000000002</v>
      </c>
      <c r="H30" s="90"/>
      <c r="I30" s="90"/>
      <c r="J30" s="90"/>
      <c r="K30" s="90"/>
      <c r="L30" s="90"/>
      <c r="M30" s="90"/>
    </row>
    <row r="31" spans="1:13" s="52" customFormat="1" ht="21.75" customHeight="1" x14ac:dyDescent="0.2">
      <c r="A31" s="69" t="s">
        <v>293</v>
      </c>
      <c r="B31" s="68" t="s">
        <v>122</v>
      </c>
      <c r="C31" s="67" t="s">
        <v>188</v>
      </c>
      <c r="D31" s="68" t="s">
        <v>493</v>
      </c>
      <c r="E31" s="68" t="s">
        <v>295</v>
      </c>
      <c r="F31" s="131">
        <f>'ПР 8 ведом'!G634</f>
        <v>16.412800000000001</v>
      </c>
      <c r="G31" s="131">
        <f>'ПР 8 ведом'!H634</f>
        <v>16.081600000000002</v>
      </c>
      <c r="H31" s="90"/>
      <c r="I31" s="90"/>
      <c r="J31" s="90"/>
      <c r="K31" s="90"/>
      <c r="L31" s="90"/>
      <c r="M31" s="90"/>
    </row>
    <row r="32" spans="1:13" s="52" customFormat="1" ht="21.75" customHeight="1" x14ac:dyDescent="0.2">
      <c r="A32" s="66" t="s">
        <v>149</v>
      </c>
      <c r="B32" s="68" t="s">
        <v>122</v>
      </c>
      <c r="C32" s="67" t="s">
        <v>188</v>
      </c>
      <c r="D32" s="68" t="s">
        <v>493</v>
      </c>
      <c r="E32" s="68" t="s">
        <v>150</v>
      </c>
      <c r="F32" s="131">
        <f>F33</f>
        <v>72.787199999999999</v>
      </c>
      <c r="G32" s="131">
        <f>G33</f>
        <v>71.318400000000011</v>
      </c>
      <c r="H32" s="90"/>
      <c r="I32" s="90"/>
      <c r="J32" s="90"/>
      <c r="K32" s="90"/>
      <c r="L32" s="90"/>
      <c r="M32" s="90"/>
    </row>
    <row r="33" spans="1:13" s="52" customFormat="1" ht="27" customHeight="1" x14ac:dyDescent="0.2">
      <c r="A33" s="83" t="s">
        <v>151</v>
      </c>
      <c r="B33" s="68" t="s">
        <v>122</v>
      </c>
      <c r="C33" s="67" t="s">
        <v>188</v>
      </c>
      <c r="D33" s="68" t="s">
        <v>493</v>
      </c>
      <c r="E33" s="68">
        <v>240</v>
      </c>
      <c r="F33" s="131">
        <f>F34+F35</f>
        <v>72.787199999999999</v>
      </c>
      <c r="G33" s="131">
        <f>G34+G35</f>
        <v>71.318400000000011</v>
      </c>
      <c r="H33" s="90"/>
      <c r="I33" s="90"/>
      <c r="J33" s="90"/>
      <c r="K33" s="90"/>
      <c r="L33" s="90"/>
      <c r="M33" s="90"/>
    </row>
    <row r="34" spans="1:13" s="52" customFormat="1" ht="27" customHeight="1" x14ac:dyDescent="0.2">
      <c r="A34" s="115" t="s">
        <v>171</v>
      </c>
      <c r="B34" s="68" t="s">
        <v>122</v>
      </c>
      <c r="C34" s="67" t="s">
        <v>188</v>
      </c>
      <c r="D34" s="68" t="s">
        <v>493</v>
      </c>
      <c r="E34" s="68">
        <v>242</v>
      </c>
      <c r="F34" s="131">
        <f>'ПР 8 ведом'!G637</f>
        <v>22.121600000000001</v>
      </c>
      <c r="G34" s="131">
        <f>'ПР 8 ведом'!H637</f>
        <v>21.675200000000004</v>
      </c>
      <c r="H34" s="90"/>
      <c r="I34" s="90"/>
      <c r="J34" s="90"/>
      <c r="K34" s="90"/>
      <c r="L34" s="90"/>
      <c r="M34" s="90"/>
    </row>
    <row r="35" spans="1:13" s="52" customFormat="1" ht="27" customHeight="1" x14ac:dyDescent="0.2">
      <c r="A35" s="115" t="s">
        <v>153</v>
      </c>
      <c r="B35" s="68" t="s">
        <v>122</v>
      </c>
      <c r="C35" s="67" t="s">
        <v>188</v>
      </c>
      <c r="D35" s="68" t="s">
        <v>493</v>
      </c>
      <c r="E35" s="68" t="s">
        <v>154</v>
      </c>
      <c r="F35" s="131">
        <f>'ПР 8 ведом'!G638</f>
        <v>50.665599999999998</v>
      </c>
      <c r="G35" s="131">
        <f>'ПР 8 ведом'!H638</f>
        <v>49.643200000000007</v>
      </c>
      <c r="H35" s="90"/>
      <c r="I35" s="90"/>
      <c r="J35" s="90"/>
      <c r="K35" s="90"/>
      <c r="L35" s="90"/>
      <c r="M35" s="90"/>
    </row>
    <row r="36" spans="1:13" s="52" customFormat="1" ht="31.5" x14ac:dyDescent="0.2">
      <c r="A36" s="61" t="s">
        <v>375</v>
      </c>
      <c r="B36" s="96" t="s">
        <v>122</v>
      </c>
      <c r="C36" s="94" t="s">
        <v>160</v>
      </c>
      <c r="D36" s="96"/>
      <c r="E36" s="96"/>
      <c r="F36" s="138">
        <f>F42+F37</f>
        <v>15284.427599999999</v>
      </c>
      <c r="G36" s="138">
        <f>G42+G37</f>
        <v>14657.537200000001</v>
      </c>
      <c r="H36" s="148"/>
      <c r="I36" s="90"/>
      <c r="J36" s="90"/>
      <c r="K36" s="90"/>
      <c r="L36" s="90"/>
      <c r="M36" s="90"/>
    </row>
    <row r="37" spans="1:13" s="52" customFormat="1" ht="12" customHeight="1" x14ac:dyDescent="0.2">
      <c r="A37" s="69" t="s">
        <v>376</v>
      </c>
      <c r="B37" s="68" t="s">
        <v>122</v>
      </c>
      <c r="C37" s="67" t="s">
        <v>160</v>
      </c>
      <c r="D37" s="68" t="s">
        <v>377</v>
      </c>
      <c r="E37" s="68" t="s">
        <v>184</v>
      </c>
      <c r="F37" s="131">
        <f>F38</f>
        <v>791.91759999999999</v>
      </c>
      <c r="G37" s="131">
        <f>G38</f>
        <v>775.93720000000008</v>
      </c>
      <c r="H37" s="90"/>
      <c r="I37" s="90"/>
      <c r="J37" s="90"/>
      <c r="K37" s="90"/>
      <c r="L37" s="90"/>
      <c r="M37" s="90"/>
    </row>
    <row r="38" spans="1:13" s="52" customFormat="1" ht="45" x14ac:dyDescent="0.2">
      <c r="A38" s="66" t="s">
        <v>139</v>
      </c>
      <c r="B38" s="68" t="s">
        <v>122</v>
      </c>
      <c r="C38" s="67" t="s">
        <v>160</v>
      </c>
      <c r="D38" s="68" t="s">
        <v>378</v>
      </c>
      <c r="E38" s="68" t="s">
        <v>140</v>
      </c>
      <c r="F38" s="131">
        <f>SUM(F39)</f>
        <v>791.91759999999999</v>
      </c>
      <c r="G38" s="131">
        <f>SUM(G39)</f>
        <v>775.93720000000008</v>
      </c>
      <c r="H38" s="90"/>
      <c r="I38" s="90"/>
      <c r="J38" s="90"/>
      <c r="K38" s="90"/>
      <c r="L38" s="90"/>
      <c r="M38" s="90"/>
    </row>
    <row r="39" spans="1:13" s="52" customFormat="1" ht="24" customHeight="1" x14ac:dyDescent="0.2">
      <c r="A39" s="66" t="s">
        <v>168</v>
      </c>
      <c r="B39" s="68" t="s">
        <v>122</v>
      </c>
      <c r="C39" s="67" t="s">
        <v>160</v>
      </c>
      <c r="D39" s="68" t="s">
        <v>378</v>
      </c>
      <c r="E39" s="68" t="s">
        <v>232</v>
      </c>
      <c r="F39" s="131">
        <f>SUM(F40:F41)</f>
        <v>791.91759999999999</v>
      </c>
      <c r="G39" s="131">
        <f>SUM(G40:G41)</f>
        <v>775.93720000000008</v>
      </c>
      <c r="H39" s="90"/>
      <c r="I39" s="90"/>
      <c r="J39" s="90"/>
      <c r="K39" s="90"/>
      <c r="L39" s="90"/>
      <c r="M39" s="90"/>
    </row>
    <row r="40" spans="1:13" s="52" customFormat="1" ht="15" customHeight="1" x14ac:dyDescent="0.2">
      <c r="A40" s="69" t="s">
        <v>169</v>
      </c>
      <c r="B40" s="68" t="s">
        <v>122</v>
      </c>
      <c r="C40" s="67" t="s">
        <v>160</v>
      </c>
      <c r="D40" s="68" t="s">
        <v>378</v>
      </c>
      <c r="E40" s="68" t="s">
        <v>233</v>
      </c>
      <c r="F40" s="131">
        <f>'ПР 8 ведом'!G416</f>
        <v>608.25480000000005</v>
      </c>
      <c r="G40" s="131">
        <f>'ПР 8 ведом'!H416</f>
        <v>595.98060000000009</v>
      </c>
      <c r="H40" s="90"/>
      <c r="I40" s="90"/>
      <c r="J40" s="90"/>
      <c r="K40" s="90"/>
      <c r="L40" s="90"/>
      <c r="M40" s="90"/>
    </row>
    <row r="41" spans="1:13" s="52" customFormat="1" ht="31.5" customHeight="1" x14ac:dyDescent="0.2">
      <c r="A41" s="69" t="s">
        <v>170</v>
      </c>
      <c r="B41" s="68" t="s">
        <v>122</v>
      </c>
      <c r="C41" s="67" t="s">
        <v>160</v>
      </c>
      <c r="D41" s="68" t="s">
        <v>378</v>
      </c>
      <c r="E41" s="68">
        <v>129</v>
      </c>
      <c r="F41" s="131">
        <f>'ПР 8 ведом'!G417</f>
        <v>183.6628</v>
      </c>
      <c r="G41" s="131">
        <f>'ПР 8 ведом'!H417</f>
        <v>179.95660000000004</v>
      </c>
      <c r="H41" s="90"/>
      <c r="I41" s="90"/>
      <c r="J41" s="90"/>
      <c r="K41" s="90"/>
      <c r="L41" s="90"/>
      <c r="M41" s="90"/>
    </row>
    <row r="42" spans="1:13" s="283" customFormat="1" ht="22.5" customHeight="1" x14ac:dyDescent="0.2">
      <c r="A42" s="66" t="s">
        <v>379</v>
      </c>
      <c r="B42" s="68" t="s">
        <v>122</v>
      </c>
      <c r="C42" s="67" t="s">
        <v>160</v>
      </c>
      <c r="D42" s="68" t="s">
        <v>380</v>
      </c>
      <c r="E42" s="68" t="s">
        <v>184</v>
      </c>
      <c r="F42" s="131">
        <f>F43+F47+F49+F53</f>
        <v>14492.509999999998</v>
      </c>
      <c r="G42" s="131">
        <f>G43+G47+G49+G53</f>
        <v>13881.6</v>
      </c>
      <c r="H42" s="282"/>
      <c r="I42" s="282"/>
      <c r="J42" s="282"/>
      <c r="K42" s="282"/>
      <c r="L42" s="282"/>
      <c r="M42" s="282"/>
    </row>
    <row r="43" spans="1:13" s="52" customFormat="1" ht="45" x14ac:dyDescent="0.2">
      <c r="A43" s="66" t="s">
        <v>139</v>
      </c>
      <c r="B43" s="68" t="s">
        <v>122</v>
      </c>
      <c r="C43" s="67" t="s">
        <v>160</v>
      </c>
      <c r="D43" s="68" t="s">
        <v>381</v>
      </c>
      <c r="E43" s="68" t="s">
        <v>140</v>
      </c>
      <c r="F43" s="131">
        <f>F44</f>
        <v>11065.0412</v>
      </c>
      <c r="G43" s="131">
        <f>G44</f>
        <v>10467.8364</v>
      </c>
      <c r="H43" s="90"/>
      <c r="I43" s="90"/>
      <c r="J43" s="90"/>
      <c r="K43" s="90"/>
      <c r="L43" s="90"/>
      <c r="M43" s="90"/>
    </row>
    <row r="44" spans="1:13" s="52" customFormat="1" ht="20.25" customHeight="1" x14ac:dyDescent="0.2">
      <c r="A44" s="66" t="s">
        <v>168</v>
      </c>
      <c r="B44" s="68" t="s">
        <v>122</v>
      </c>
      <c r="C44" s="67" t="s">
        <v>160</v>
      </c>
      <c r="D44" s="68" t="s">
        <v>381</v>
      </c>
      <c r="E44" s="68" t="s">
        <v>232</v>
      </c>
      <c r="F44" s="131">
        <f>F45+F46</f>
        <v>11065.0412</v>
      </c>
      <c r="G44" s="131">
        <f>G45+G46</f>
        <v>10467.8364</v>
      </c>
      <c r="H44" s="90"/>
      <c r="I44" s="90"/>
      <c r="J44" s="90"/>
      <c r="K44" s="90"/>
      <c r="L44" s="90"/>
      <c r="M44" s="90"/>
    </row>
    <row r="45" spans="1:13" s="52" customFormat="1" ht="12.75" customHeight="1" x14ac:dyDescent="0.2">
      <c r="A45" s="69" t="s">
        <v>169</v>
      </c>
      <c r="B45" s="68" t="s">
        <v>122</v>
      </c>
      <c r="C45" s="67" t="s">
        <v>160</v>
      </c>
      <c r="D45" s="68" t="s">
        <v>381</v>
      </c>
      <c r="E45" s="68" t="s">
        <v>233</v>
      </c>
      <c r="F45" s="131">
        <f>'ПР 8 ведом'!G421</f>
        <v>8216.35</v>
      </c>
      <c r="G45" s="131">
        <f>'ПР 8 ведом'!H421</f>
        <v>7676.63</v>
      </c>
      <c r="H45" s="90"/>
      <c r="I45" s="90"/>
      <c r="J45" s="90"/>
      <c r="K45" s="90"/>
      <c r="L45" s="90"/>
      <c r="M45" s="90"/>
    </row>
    <row r="46" spans="1:13" s="52" customFormat="1" ht="33" customHeight="1" x14ac:dyDescent="0.2">
      <c r="A46" s="69" t="s">
        <v>170</v>
      </c>
      <c r="B46" s="68" t="s">
        <v>122</v>
      </c>
      <c r="C46" s="67" t="s">
        <v>160</v>
      </c>
      <c r="D46" s="68" t="s">
        <v>381</v>
      </c>
      <c r="E46" s="68">
        <v>129</v>
      </c>
      <c r="F46" s="131">
        <f>'ПР 8 ведом'!G422</f>
        <v>2848.6911999999998</v>
      </c>
      <c r="G46" s="131">
        <f>'ПР 8 ведом'!H422</f>
        <v>2791.2064000000005</v>
      </c>
      <c r="H46" s="90"/>
      <c r="I46" s="90"/>
      <c r="J46" s="90"/>
      <c r="K46" s="90"/>
      <c r="L46" s="90"/>
      <c r="M46" s="90"/>
    </row>
    <row r="47" spans="1:13" s="52" customFormat="1" ht="15" customHeight="1" x14ac:dyDescent="0.2">
      <c r="A47" s="83" t="s">
        <v>168</v>
      </c>
      <c r="B47" s="84" t="s">
        <v>122</v>
      </c>
      <c r="C47" s="87" t="s">
        <v>160</v>
      </c>
      <c r="D47" s="84" t="s">
        <v>382</v>
      </c>
      <c r="E47" s="84">
        <v>120</v>
      </c>
      <c r="F47" s="131">
        <f>F48</f>
        <v>186.5172</v>
      </c>
      <c r="G47" s="131">
        <f>G48</f>
        <v>182.75340000000003</v>
      </c>
      <c r="H47" s="90"/>
      <c r="I47" s="90"/>
      <c r="J47" s="90"/>
      <c r="K47" s="90"/>
      <c r="L47" s="90"/>
      <c r="M47" s="90"/>
    </row>
    <row r="48" spans="1:13" s="52" customFormat="1" ht="15" customHeight="1" x14ac:dyDescent="0.2">
      <c r="A48" s="114" t="s">
        <v>293</v>
      </c>
      <c r="B48" s="84" t="s">
        <v>122</v>
      </c>
      <c r="C48" s="87" t="s">
        <v>160</v>
      </c>
      <c r="D48" s="84" t="s">
        <v>382</v>
      </c>
      <c r="E48" s="84">
        <v>122</v>
      </c>
      <c r="F48" s="131">
        <f>'ПР 8 ведом'!G425</f>
        <v>186.5172</v>
      </c>
      <c r="G48" s="131">
        <f>'ПР 8 ведом'!H425</f>
        <v>182.75340000000003</v>
      </c>
      <c r="H48" s="90"/>
      <c r="I48" s="90"/>
      <c r="J48" s="90"/>
      <c r="K48" s="90"/>
      <c r="L48" s="90"/>
      <c r="M48" s="90"/>
    </row>
    <row r="49" spans="1:13" s="52" customFormat="1" ht="21.75" customHeight="1" x14ac:dyDescent="0.2">
      <c r="A49" s="66" t="s">
        <v>149</v>
      </c>
      <c r="B49" s="68" t="s">
        <v>122</v>
      </c>
      <c r="C49" s="67" t="s">
        <v>160</v>
      </c>
      <c r="D49" s="68" t="s">
        <v>382</v>
      </c>
      <c r="E49" s="68" t="s">
        <v>150</v>
      </c>
      <c r="F49" s="131">
        <f>F50</f>
        <v>3107.1516000000001</v>
      </c>
      <c r="G49" s="131">
        <f>G50</f>
        <v>3099.9102000000003</v>
      </c>
      <c r="H49" s="90"/>
      <c r="I49" s="90"/>
      <c r="J49" s="90"/>
      <c r="K49" s="90"/>
      <c r="L49" s="90"/>
      <c r="M49" s="90"/>
    </row>
    <row r="50" spans="1:13" s="52" customFormat="1" ht="21.75" customHeight="1" x14ac:dyDescent="0.2">
      <c r="A50" s="66" t="s">
        <v>151</v>
      </c>
      <c r="B50" s="68" t="s">
        <v>122</v>
      </c>
      <c r="C50" s="67" t="s">
        <v>160</v>
      </c>
      <c r="D50" s="68" t="s">
        <v>382</v>
      </c>
      <c r="E50" s="68" t="s">
        <v>152</v>
      </c>
      <c r="F50" s="131">
        <f>F52+F51</f>
        <v>3107.1516000000001</v>
      </c>
      <c r="G50" s="131">
        <f>G52+G51</f>
        <v>3099.9102000000003</v>
      </c>
      <c r="H50" s="90"/>
      <c r="I50" s="90"/>
      <c r="J50" s="90"/>
      <c r="K50" s="90"/>
      <c r="L50" s="90"/>
      <c r="M50" s="90"/>
    </row>
    <row r="51" spans="1:13" s="52" customFormat="1" ht="21.75" customHeight="1" x14ac:dyDescent="0.2">
      <c r="A51" s="70" t="s">
        <v>171</v>
      </c>
      <c r="B51" s="68" t="s">
        <v>122</v>
      </c>
      <c r="C51" s="67" t="s">
        <v>160</v>
      </c>
      <c r="D51" s="68" t="s">
        <v>382</v>
      </c>
      <c r="E51" s="68">
        <v>242</v>
      </c>
      <c r="F51" s="131">
        <f>'ПР 8 ведом'!G428</f>
        <v>269.65160000000003</v>
      </c>
      <c r="G51" s="131">
        <f>'ПР 8 ведом'!H428</f>
        <v>264.21020000000004</v>
      </c>
      <c r="H51" s="90"/>
      <c r="I51" s="90"/>
      <c r="J51" s="90"/>
      <c r="K51" s="90"/>
      <c r="L51" s="90"/>
      <c r="M51" s="90"/>
    </row>
    <row r="52" spans="1:13" s="52" customFormat="1" ht="21.75" customHeight="1" x14ac:dyDescent="0.2">
      <c r="A52" s="70" t="s">
        <v>153</v>
      </c>
      <c r="B52" s="68" t="s">
        <v>122</v>
      </c>
      <c r="C52" s="67" t="s">
        <v>160</v>
      </c>
      <c r="D52" s="68" t="s">
        <v>382</v>
      </c>
      <c r="E52" s="68" t="s">
        <v>154</v>
      </c>
      <c r="F52" s="131">
        <f>'ПР 8 ведом'!G429</f>
        <v>2837.5</v>
      </c>
      <c r="G52" s="131">
        <f>'ПР 8 ведом'!H429</f>
        <v>2835.7000000000003</v>
      </c>
      <c r="H52" s="90"/>
      <c r="I52" s="90"/>
      <c r="J52" s="90"/>
      <c r="K52" s="90"/>
      <c r="L52" s="90"/>
      <c r="M52" s="90"/>
    </row>
    <row r="53" spans="1:13" s="52" customFormat="1" ht="13.5" customHeight="1" x14ac:dyDescent="0.2">
      <c r="A53" s="70" t="s">
        <v>172</v>
      </c>
      <c r="B53" s="68" t="s">
        <v>122</v>
      </c>
      <c r="C53" s="67" t="s">
        <v>160</v>
      </c>
      <c r="D53" s="68" t="s">
        <v>382</v>
      </c>
      <c r="E53" s="68" t="s">
        <v>235</v>
      </c>
      <c r="F53" s="131">
        <f>F54</f>
        <v>133.80000000000001</v>
      </c>
      <c r="G53" s="131">
        <f>G54</f>
        <v>131.10000000000002</v>
      </c>
      <c r="H53" s="90"/>
      <c r="I53" s="90"/>
      <c r="J53" s="90"/>
      <c r="K53" s="90"/>
      <c r="L53" s="90"/>
      <c r="M53" s="90"/>
    </row>
    <row r="54" spans="1:13" s="52" customFormat="1" ht="24.75" customHeight="1" x14ac:dyDescent="0.2">
      <c r="A54" s="70" t="s">
        <v>173</v>
      </c>
      <c r="B54" s="68" t="s">
        <v>122</v>
      </c>
      <c r="C54" s="67" t="s">
        <v>160</v>
      </c>
      <c r="D54" s="68" t="s">
        <v>382</v>
      </c>
      <c r="E54" s="68" t="s">
        <v>174</v>
      </c>
      <c r="F54" s="131">
        <f>F55+F56+F57</f>
        <v>133.80000000000001</v>
      </c>
      <c r="G54" s="131">
        <f>G55+G56+G57</f>
        <v>131.10000000000002</v>
      </c>
      <c r="H54" s="90"/>
      <c r="I54" s="90"/>
      <c r="J54" s="90"/>
      <c r="K54" s="90"/>
      <c r="L54" s="90"/>
      <c r="M54" s="90"/>
    </row>
    <row r="55" spans="1:13" s="283" customFormat="1" ht="17.25" customHeight="1" x14ac:dyDescent="0.2">
      <c r="A55" s="75" t="s">
        <v>175</v>
      </c>
      <c r="B55" s="68" t="s">
        <v>122</v>
      </c>
      <c r="C55" s="67" t="s">
        <v>160</v>
      </c>
      <c r="D55" s="68" t="s">
        <v>382</v>
      </c>
      <c r="E55" s="68" t="s">
        <v>176</v>
      </c>
      <c r="F55" s="131">
        <f>'ПР 8 ведом'!G432</f>
        <v>12.844800000000001</v>
      </c>
      <c r="G55" s="131">
        <f>'ПР 8 ведом'!H432</f>
        <v>12.585600000000001</v>
      </c>
      <c r="H55" s="282"/>
      <c r="I55" s="282"/>
      <c r="J55" s="282"/>
      <c r="K55" s="282"/>
      <c r="L55" s="282"/>
      <c r="M55" s="282"/>
    </row>
    <row r="56" spans="1:13" s="283" customFormat="1" ht="17.25" customHeight="1" x14ac:dyDescent="0.2">
      <c r="A56" s="70" t="s">
        <v>236</v>
      </c>
      <c r="B56" s="68" t="s">
        <v>122</v>
      </c>
      <c r="C56" s="67" t="s">
        <v>160</v>
      </c>
      <c r="D56" s="68" t="s">
        <v>382</v>
      </c>
      <c r="E56" s="68">
        <v>852</v>
      </c>
      <c r="F56" s="131">
        <f>'ПР 8 ведом'!G433</f>
        <v>2.6760000000000002</v>
      </c>
      <c r="G56" s="131">
        <f>'ПР 8 ведом'!H433</f>
        <v>2.6220000000000003</v>
      </c>
      <c r="H56" s="282"/>
      <c r="I56" s="282"/>
      <c r="J56" s="282"/>
      <c r="K56" s="282"/>
      <c r="L56" s="282"/>
      <c r="M56" s="282"/>
    </row>
    <row r="57" spans="1:13" s="283" customFormat="1" ht="17.25" customHeight="1" x14ac:dyDescent="0.2">
      <c r="A57" s="115" t="s">
        <v>564</v>
      </c>
      <c r="B57" s="84" t="s">
        <v>122</v>
      </c>
      <c r="C57" s="87" t="s">
        <v>160</v>
      </c>
      <c r="D57" s="84" t="s">
        <v>382</v>
      </c>
      <c r="E57" s="84">
        <v>853</v>
      </c>
      <c r="F57" s="131">
        <f>'ПР 8 ведом'!G434</f>
        <v>118.2792</v>
      </c>
      <c r="G57" s="131">
        <f>'ПР 8 ведом'!H434</f>
        <v>115.89240000000001</v>
      </c>
      <c r="H57" s="282"/>
      <c r="I57" s="282"/>
      <c r="J57" s="282"/>
      <c r="K57" s="282"/>
      <c r="L57" s="282"/>
      <c r="M57" s="282"/>
    </row>
    <row r="58" spans="1:13" s="283" customFormat="1" ht="17.25" customHeight="1" x14ac:dyDescent="0.2">
      <c r="A58" s="61" t="s">
        <v>569</v>
      </c>
      <c r="B58" s="96" t="s">
        <v>122</v>
      </c>
      <c r="C58" s="94" t="s">
        <v>286</v>
      </c>
      <c r="D58" s="96"/>
      <c r="E58" s="96"/>
      <c r="F58" s="138">
        <f t="shared" ref="F58:G61" si="1">F59</f>
        <v>181</v>
      </c>
      <c r="G58" s="138">
        <f t="shared" si="1"/>
        <v>159.15540000000001</v>
      </c>
      <c r="H58" s="282"/>
      <c r="I58" s="282"/>
      <c r="J58" s="282"/>
      <c r="K58" s="282"/>
      <c r="L58" s="282"/>
      <c r="M58" s="282"/>
    </row>
    <row r="59" spans="1:13" s="283" customFormat="1" ht="17.25" customHeight="1" x14ac:dyDescent="0.2">
      <c r="A59" s="312" t="s">
        <v>657</v>
      </c>
      <c r="B59" s="306" t="s">
        <v>122</v>
      </c>
      <c r="C59" s="305" t="s">
        <v>286</v>
      </c>
      <c r="D59" s="306" t="s">
        <v>570</v>
      </c>
      <c r="E59" s="306"/>
      <c r="F59" s="131">
        <f t="shared" si="1"/>
        <v>181</v>
      </c>
      <c r="G59" s="131">
        <f t="shared" si="1"/>
        <v>159.15540000000001</v>
      </c>
      <c r="H59" s="282"/>
      <c r="I59" s="282"/>
      <c r="J59" s="282"/>
      <c r="K59" s="282"/>
      <c r="L59" s="282"/>
      <c r="M59" s="282"/>
    </row>
    <row r="60" spans="1:13" s="283" customFormat="1" ht="17.25" customHeight="1" x14ac:dyDescent="0.2">
      <c r="A60" s="83" t="s">
        <v>650</v>
      </c>
      <c r="B60" s="68" t="s">
        <v>122</v>
      </c>
      <c r="C60" s="67" t="s">
        <v>286</v>
      </c>
      <c r="D60" s="68" t="s">
        <v>570</v>
      </c>
      <c r="E60" s="68" t="s">
        <v>150</v>
      </c>
      <c r="F60" s="131">
        <f t="shared" si="1"/>
        <v>181</v>
      </c>
      <c r="G60" s="131">
        <f t="shared" si="1"/>
        <v>159.15540000000001</v>
      </c>
      <c r="H60" s="282"/>
      <c r="I60" s="282"/>
      <c r="J60" s="282"/>
      <c r="K60" s="282"/>
      <c r="L60" s="282"/>
      <c r="M60" s="282"/>
    </row>
    <row r="61" spans="1:13" s="283" customFormat="1" ht="17.25" customHeight="1" x14ac:dyDescent="0.2">
      <c r="A61" s="83" t="s">
        <v>151</v>
      </c>
      <c r="B61" s="68" t="s">
        <v>122</v>
      </c>
      <c r="C61" s="67" t="s">
        <v>286</v>
      </c>
      <c r="D61" s="68" t="s">
        <v>570</v>
      </c>
      <c r="E61" s="68" t="s">
        <v>152</v>
      </c>
      <c r="F61" s="131">
        <f t="shared" si="1"/>
        <v>181</v>
      </c>
      <c r="G61" s="131">
        <f t="shared" si="1"/>
        <v>159.15540000000001</v>
      </c>
      <c r="H61" s="282"/>
      <c r="I61" s="282"/>
      <c r="J61" s="282"/>
      <c r="K61" s="282"/>
      <c r="L61" s="282"/>
      <c r="M61" s="282"/>
    </row>
    <row r="62" spans="1:13" s="283" customFormat="1" ht="17.25" customHeight="1" x14ac:dyDescent="0.2">
      <c r="A62" s="115" t="s">
        <v>153</v>
      </c>
      <c r="B62" s="68" t="s">
        <v>122</v>
      </c>
      <c r="C62" s="67" t="s">
        <v>286</v>
      </c>
      <c r="D62" s="68" t="s">
        <v>570</v>
      </c>
      <c r="E62" s="68" t="s">
        <v>154</v>
      </c>
      <c r="F62" s="131">
        <f>'ПР 8 ведом'!G439</f>
        <v>181</v>
      </c>
      <c r="G62" s="131">
        <f>'ПР 8 ведом'!H439</f>
        <v>159.15540000000001</v>
      </c>
      <c r="H62" s="282"/>
      <c r="I62" s="282"/>
      <c r="J62" s="282"/>
      <c r="K62" s="282"/>
      <c r="L62" s="282"/>
      <c r="M62" s="282"/>
    </row>
    <row r="63" spans="1:13" s="52" customFormat="1" ht="31.5" x14ac:dyDescent="0.2">
      <c r="A63" s="61" t="s">
        <v>323</v>
      </c>
      <c r="B63" s="96" t="s">
        <v>122</v>
      </c>
      <c r="C63" s="94" t="s">
        <v>222</v>
      </c>
      <c r="D63" s="96" t="s">
        <v>183</v>
      </c>
      <c r="E63" s="96" t="s">
        <v>184</v>
      </c>
      <c r="F63" s="138">
        <f>F64+F80</f>
        <v>5455.8679999999995</v>
      </c>
      <c r="G63" s="138">
        <f>G64+G80</f>
        <v>5332.1810000000005</v>
      </c>
      <c r="H63" s="148"/>
      <c r="I63" s="90"/>
      <c r="J63" s="90"/>
      <c r="K63" s="90"/>
      <c r="L63" s="90"/>
      <c r="M63" s="90"/>
    </row>
    <row r="64" spans="1:13" s="52" customFormat="1" ht="34.5" customHeight="1" x14ac:dyDescent="0.2">
      <c r="A64" s="61" t="s">
        <v>324</v>
      </c>
      <c r="B64" s="96" t="s">
        <v>122</v>
      </c>
      <c r="C64" s="94" t="s">
        <v>222</v>
      </c>
      <c r="D64" s="96" t="s">
        <v>325</v>
      </c>
      <c r="E64" s="96" t="s">
        <v>184</v>
      </c>
      <c r="F64" s="138">
        <f>F65</f>
        <v>4111.3563999999997</v>
      </c>
      <c r="G64" s="138">
        <f>G65</f>
        <v>4014.8008000000004</v>
      </c>
      <c r="H64" s="90"/>
      <c r="I64" s="90"/>
      <c r="J64" s="90"/>
      <c r="K64" s="90"/>
      <c r="L64" s="90"/>
      <c r="M64" s="90"/>
    </row>
    <row r="65" spans="1:13" s="52" customFormat="1" ht="45" x14ac:dyDescent="0.2">
      <c r="A65" s="66" t="s">
        <v>326</v>
      </c>
      <c r="B65" s="68" t="s">
        <v>122</v>
      </c>
      <c r="C65" s="67" t="s">
        <v>222</v>
      </c>
      <c r="D65" s="68" t="s">
        <v>327</v>
      </c>
      <c r="E65" s="68" t="s">
        <v>184</v>
      </c>
      <c r="F65" s="131">
        <f>F66</f>
        <v>4111.3563999999997</v>
      </c>
      <c r="G65" s="131">
        <f>G66</f>
        <v>4014.8008000000004</v>
      </c>
      <c r="H65" s="90"/>
      <c r="I65" s="90"/>
      <c r="J65" s="90"/>
      <c r="K65" s="90"/>
      <c r="L65" s="90"/>
      <c r="M65" s="90"/>
    </row>
    <row r="66" spans="1:13" s="283" customFormat="1" ht="27.75" customHeight="1" x14ac:dyDescent="0.2">
      <c r="A66" s="66" t="s">
        <v>328</v>
      </c>
      <c r="B66" s="68" t="s">
        <v>122</v>
      </c>
      <c r="C66" s="67" t="s">
        <v>222</v>
      </c>
      <c r="D66" s="68" t="s">
        <v>329</v>
      </c>
      <c r="E66" s="68"/>
      <c r="F66" s="131">
        <f>F67+F71+F72+F76</f>
        <v>4111.3563999999997</v>
      </c>
      <c r="G66" s="131">
        <f>G67+G71+G72+G76</f>
        <v>4014.8008000000004</v>
      </c>
      <c r="H66" s="282"/>
      <c r="I66" s="282"/>
      <c r="J66" s="282"/>
      <c r="K66" s="282"/>
      <c r="L66" s="282"/>
      <c r="M66" s="282"/>
    </row>
    <row r="67" spans="1:13" s="283" customFormat="1" ht="45" x14ac:dyDescent="0.2">
      <c r="A67" s="66" t="s">
        <v>139</v>
      </c>
      <c r="B67" s="68" t="s">
        <v>122</v>
      </c>
      <c r="C67" s="67" t="s">
        <v>222</v>
      </c>
      <c r="D67" s="68" t="s">
        <v>330</v>
      </c>
      <c r="E67" s="68" t="s">
        <v>140</v>
      </c>
      <c r="F67" s="131">
        <f>F68</f>
        <v>3393.4355999999998</v>
      </c>
      <c r="G67" s="131">
        <f>G68</f>
        <v>3324.9582000000005</v>
      </c>
      <c r="H67" s="282"/>
      <c r="I67" s="282"/>
      <c r="J67" s="282"/>
      <c r="K67" s="282"/>
      <c r="L67" s="282"/>
      <c r="M67" s="282"/>
    </row>
    <row r="68" spans="1:13" s="52" customFormat="1" ht="23.25" customHeight="1" x14ac:dyDescent="0.2">
      <c r="A68" s="66" t="s">
        <v>168</v>
      </c>
      <c r="B68" s="68" t="s">
        <v>122</v>
      </c>
      <c r="C68" s="67" t="s">
        <v>222</v>
      </c>
      <c r="D68" s="68" t="s">
        <v>331</v>
      </c>
      <c r="E68" s="68" t="s">
        <v>232</v>
      </c>
      <c r="F68" s="131">
        <f>F69+F70</f>
        <v>3393.4355999999998</v>
      </c>
      <c r="G68" s="131">
        <f>G69+G70</f>
        <v>3324.9582000000005</v>
      </c>
      <c r="H68" s="90"/>
      <c r="I68" s="90"/>
      <c r="J68" s="90"/>
      <c r="K68" s="90"/>
      <c r="L68" s="90"/>
      <c r="M68" s="90"/>
    </row>
    <row r="69" spans="1:13" s="52" customFormat="1" ht="16.5" customHeight="1" x14ac:dyDescent="0.2">
      <c r="A69" s="69" t="s">
        <v>169</v>
      </c>
      <c r="B69" s="68" t="s">
        <v>122</v>
      </c>
      <c r="C69" s="67" t="s">
        <v>222</v>
      </c>
      <c r="D69" s="68" t="s">
        <v>331</v>
      </c>
      <c r="E69" s="68" t="s">
        <v>233</v>
      </c>
      <c r="F69" s="131">
        <f>'ПР 8 ведом'!G361</f>
        <v>2606.424</v>
      </c>
      <c r="G69" s="131">
        <f>'ПР 8 ведом'!H361</f>
        <v>2553.8280000000004</v>
      </c>
      <c r="H69" s="90"/>
      <c r="I69" s="90"/>
      <c r="J69" s="90"/>
      <c r="K69" s="90"/>
      <c r="L69" s="90"/>
      <c r="M69" s="90"/>
    </row>
    <row r="70" spans="1:13" s="52" customFormat="1" ht="31.5" customHeight="1" x14ac:dyDescent="0.2">
      <c r="A70" s="69" t="s">
        <v>170</v>
      </c>
      <c r="B70" s="68" t="s">
        <v>122</v>
      </c>
      <c r="C70" s="67" t="s">
        <v>222</v>
      </c>
      <c r="D70" s="68" t="s">
        <v>331</v>
      </c>
      <c r="E70" s="68">
        <v>129</v>
      </c>
      <c r="F70" s="131">
        <f>'ПР 8 ведом'!G362</f>
        <v>787.01159999999993</v>
      </c>
      <c r="G70" s="131">
        <f>'ПР 8 ведом'!H362</f>
        <v>771.13020000000006</v>
      </c>
      <c r="H70" s="90"/>
      <c r="I70" s="90"/>
      <c r="J70" s="90"/>
      <c r="K70" s="90"/>
      <c r="L70" s="90"/>
      <c r="M70" s="90"/>
    </row>
    <row r="71" spans="1:13" s="52" customFormat="1" ht="24" customHeight="1" x14ac:dyDescent="0.2">
      <c r="A71" s="69" t="s">
        <v>293</v>
      </c>
      <c r="B71" s="68" t="s">
        <v>122</v>
      </c>
      <c r="C71" s="67" t="s">
        <v>222</v>
      </c>
      <c r="D71" s="68" t="s">
        <v>332</v>
      </c>
      <c r="E71" s="68" t="s">
        <v>295</v>
      </c>
      <c r="F71" s="131">
        <f>'ПР 8 ведом'!G365</f>
        <v>31.487599999999997</v>
      </c>
      <c r="G71" s="131">
        <f>'ПР 8 ведом'!H365</f>
        <v>30.8522</v>
      </c>
      <c r="H71" s="90"/>
      <c r="I71" s="90"/>
      <c r="J71" s="90"/>
      <c r="K71" s="90"/>
      <c r="L71" s="90"/>
      <c r="M71" s="90"/>
    </row>
    <row r="72" spans="1:13" s="52" customFormat="1" ht="24" customHeight="1" x14ac:dyDescent="0.2">
      <c r="A72" s="66" t="s">
        <v>149</v>
      </c>
      <c r="B72" s="68" t="s">
        <v>122</v>
      </c>
      <c r="C72" s="67" t="s">
        <v>222</v>
      </c>
      <c r="D72" s="68" t="s">
        <v>332</v>
      </c>
      <c r="E72" s="68" t="s">
        <v>150</v>
      </c>
      <c r="F72" s="131">
        <f>F73</f>
        <v>683.22199999999998</v>
      </c>
      <c r="G72" s="131">
        <f>G73</f>
        <v>655.84400000000005</v>
      </c>
      <c r="H72" s="90"/>
      <c r="I72" s="90"/>
      <c r="J72" s="90"/>
      <c r="K72" s="90"/>
      <c r="L72" s="90"/>
      <c r="M72" s="90"/>
    </row>
    <row r="73" spans="1:13" s="52" customFormat="1" ht="21" customHeight="1" x14ac:dyDescent="0.2">
      <c r="A73" s="66" t="s">
        <v>151</v>
      </c>
      <c r="B73" s="68" t="s">
        <v>122</v>
      </c>
      <c r="C73" s="67" t="s">
        <v>222</v>
      </c>
      <c r="D73" s="68" t="s">
        <v>332</v>
      </c>
      <c r="E73" s="68" t="s">
        <v>152</v>
      </c>
      <c r="F73" s="131">
        <f>F75+F74</f>
        <v>683.22199999999998</v>
      </c>
      <c r="G73" s="131">
        <f>G75+G74</f>
        <v>655.84400000000005</v>
      </c>
      <c r="H73" s="90"/>
      <c r="I73" s="90"/>
      <c r="J73" s="90"/>
      <c r="K73" s="90"/>
      <c r="L73" s="90"/>
      <c r="M73" s="90"/>
    </row>
    <row r="74" spans="1:13" s="52" customFormat="1" ht="21" customHeight="1" x14ac:dyDescent="0.2">
      <c r="A74" s="70" t="s">
        <v>171</v>
      </c>
      <c r="B74" s="68" t="s">
        <v>122</v>
      </c>
      <c r="C74" s="67" t="s">
        <v>222</v>
      </c>
      <c r="D74" s="68" t="s">
        <v>332</v>
      </c>
      <c r="E74" s="68">
        <v>242</v>
      </c>
      <c r="F74" s="131">
        <f>'ПР 8 ведом'!G368</f>
        <v>342.93</v>
      </c>
      <c r="G74" s="131">
        <f>'ПР 8 ведом'!H368</f>
        <v>315.57</v>
      </c>
      <c r="H74" s="90"/>
      <c r="I74" s="90"/>
      <c r="J74" s="90"/>
      <c r="K74" s="90"/>
      <c r="L74" s="90"/>
      <c r="M74" s="90"/>
    </row>
    <row r="75" spans="1:13" s="52" customFormat="1" ht="21" customHeight="1" x14ac:dyDescent="0.2">
      <c r="A75" s="70" t="s">
        <v>153</v>
      </c>
      <c r="B75" s="68" t="s">
        <v>122</v>
      </c>
      <c r="C75" s="67" t="s">
        <v>222</v>
      </c>
      <c r="D75" s="68" t="s">
        <v>332</v>
      </c>
      <c r="E75" s="68" t="s">
        <v>154</v>
      </c>
      <c r="F75" s="131">
        <f>'ПР 8 ведом'!G369</f>
        <v>340.29199999999997</v>
      </c>
      <c r="G75" s="131">
        <f>'ПР 8 ведом'!H369</f>
        <v>340.274</v>
      </c>
      <c r="H75" s="90"/>
      <c r="I75" s="90"/>
      <c r="J75" s="90"/>
      <c r="K75" s="90"/>
      <c r="L75" s="90"/>
      <c r="M75" s="90"/>
    </row>
    <row r="76" spans="1:13" s="52" customFormat="1" ht="21" customHeight="1" x14ac:dyDescent="0.2">
      <c r="A76" s="70" t="s">
        <v>172</v>
      </c>
      <c r="B76" s="68" t="s">
        <v>122</v>
      </c>
      <c r="C76" s="67" t="s">
        <v>222</v>
      </c>
      <c r="D76" s="68" t="s">
        <v>332</v>
      </c>
      <c r="E76" s="68" t="s">
        <v>235</v>
      </c>
      <c r="F76" s="131">
        <f>F77</f>
        <v>3.2111999999999998</v>
      </c>
      <c r="G76" s="131">
        <f>G77</f>
        <v>3.1464000000000003</v>
      </c>
      <c r="H76" s="90"/>
      <c r="I76" s="90"/>
      <c r="J76" s="90"/>
      <c r="K76" s="90"/>
      <c r="L76" s="90"/>
      <c r="M76" s="90"/>
    </row>
    <row r="77" spans="1:13" s="52" customFormat="1" ht="21" customHeight="1" x14ac:dyDescent="0.2">
      <c r="A77" s="70" t="s">
        <v>173</v>
      </c>
      <c r="B77" s="68" t="s">
        <v>122</v>
      </c>
      <c r="C77" s="67" t="s">
        <v>222</v>
      </c>
      <c r="D77" s="68" t="s">
        <v>332</v>
      </c>
      <c r="E77" s="68" t="s">
        <v>174</v>
      </c>
      <c r="F77" s="131">
        <f>F78+F79</f>
        <v>3.2111999999999998</v>
      </c>
      <c r="G77" s="131">
        <f>G78+G79</f>
        <v>3.1464000000000003</v>
      </c>
      <c r="H77" s="90"/>
      <c r="I77" s="90"/>
      <c r="J77" s="90"/>
      <c r="K77" s="90"/>
      <c r="L77" s="90"/>
      <c r="M77" s="90"/>
    </row>
    <row r="78" spans="1:13" s="52" customFormat="1" ht="13.5" customHeight="1" x14ac:dyDescent="0.2">
      <c r="A78" s="70" t="s">
        <v>236</v>
      </c>
      <c r="B78" s="68" t="s">
        <v>122</v>
      </c>
      <c r="C78" s="67" t="s">
        <v>222</v>
      </c>
      <c r="D78" s="68" t="s">
        <v>332</v>
      </c>
      <c r="E78" s="68" t="s">
        <v>258</v>
      </c>
      <c r="F78" s="131">
        <f>'ПР 8 ведом'!G372</f>
        <v>0.71360000000000001</v>
      </c>
      <c r="G78" s="131">
        <f>'ПР 8 ведом'!H372</f>
        <v>0.69920000000000015</v>
      </c>
      <c r="H78" s="90"/>
      <c r="I78" s="90"/>
      <c r="J78" s="90"/>
      <c r="K78" s="90"/>
      <c r="L78" s="90"/>
      <c r="M78" s="90"/>
    </row>
    <row r="79" spans="1:13" s="52" customFormat="1" ht="13.5" customHeight="1" x14ac:dyDescent="0.2">
      <c r="A79" s="115" t="s">
        <v>564</v>
      </c>
      <c r="B79" s="68" t="s">
        <v>122</v>
      </c>
      <c r="C79" s="67" t="s">
        <v>222</v>
      </c>
      <c r="D79" s="68" t="s">
        <v>332</v>
      </c>
      <c r="E79" s="84">
        <v>853</v>
      </c>
      <c r="F79" s="131">
        <f>'ПР 8 ведом'!G373</f>
        <v>2.4975999999999998</v>
      </c>
      <c r="G79" s="131">
        <f>'ПР 8 ведом'!H373</f>
        <v>2.4472</v>
      </c>
      <c r="H79" s="90"/>
      <c r="I79" s="90"/>
      <c r="J79" s="90"/>
      <c r="K79" s="90"/>
      <c r="L79" s="90"/>
      <c r="M79" s="90"/>
    </row>
    <row r="80" spans="1:13" s="283" customFormat="1" ht="16.5" customHeight="1" x14ac:dyDescent="0.2">
      <c r="A80" s="82" t="s">
        <v>496</v>
      </c>
      <c r="B80" s="68" t="s">
        <v>122</v>
      </c>
      <c r="C80" s="67" t="s">
        <v>222</v>
      </c>
      <c r="D80" s="68" t="s">
        <v>497</v>
      </c>
      <c r="E80" s="68" t="s">
        <v>184</v>
      </c>
      <c r="F80" s="131">
        <f>F81+F86</f>
        <v>1344.5116</v>
      </c>
      <c r="G80" s="131">
        <f>G81+G86</f>
        <v>1317.3802000000003</v>
      </c>
      <c r="H80" s="282"/>
      <c r="I80" s="282"/>
      <c r="J80" s="282"/>
      <c r="K80" s="282"/>
      <c r="L80" s="282"/>
      <c r="M80" s="282"/>
    </row>
    <row r="81" spans="1:13" s="59" customFormat="1" ht="45" x14ac:dyDescent="0.2">
      <c r="A81" s="66" t="s">
        <v>139</v>
      </c>
      <c r="B81" s="68" t="s">
        <v>122</v>
      </c>
      <c r="C81" s="67" t="s">
        <v>222</v>
      </c>
      <c r="D81" s="67" t="s">
        <v>498</v>
      </c>
      <c r="E81" s="68" t="s">
        <v>140</v>
      </c>
      <c r="F81" s="131">
        <f>F82</f>
        <v>1280.1092000000001</v>
      </c>
      <c r="G81" s="131">
        <f>G82</f>
        <v>1254.2774000000002</v>
      </c>
      <c r="H81" s="89"/>
      <c r="I81" s="89"/>
      <c r="J81" s="89"/>
      <c r="K81" s="89"/>
      <c r="L81" s="89"/>
      <c r="M81" s="89"/>
    </row>
    <row r="82" spans="1:13" s="59" customFormat="1" ht="23.25" customHeight="1" x14ac:dyDescent="0.2">
      <c r="A82" s="66" t="s">
        <v>168</v>
      </c>
      <c r="B82" s="68" t="s">
        <v>122</v>
      </c>
      <c r="C82" s="67" t="s">
        <v>222</v>
      </c>
      <c r="D82" s="67" t="s">
        <v>498</v>
      </c>
      <c r="E82" s="68" t="s">
        <v>232</v>
      </c>
      <c r="F82" s="131">
        <f>F83+F85+F84</f>
        <v>1280.1092000000001</v>
      </c>
      <c r="G82" s="131">
        <f>G83+G85+G84</f>
        <v>1254.2774000000002</v>
      </c>
      <c r="H82" s="89"/>
      <c r="I82" s="89"/>
      <c r="J82" s="89"/>
      <c r="K82" s="89"/>
      <c r="L82" s="89"/>
      <c r="M82" s="89"/>
    </row>
    <row r="83" spans="1:13" s="59" customFormat="1" ht="13.5" customHeight="1" x14ac:dyDescent="0.2">
      <c r="A83" s="69" t="s">
        <v>169</v>
      </c>
      <c r="B83" s="68" t="s">
        <v>122</v>
      </c>
      <c r="C83" s="67" t="s">
        <v>222</v>
      </c>
      <c r="D83" s="67" t="s">
        <v>498</v>
      </c>
      <c r="E83" s="68" t="s">
        <v>233</v>
      </c>
      <c r="F83" s="131">
        <f>'ПР 8 ведом'!G645</f>
        <v>974.4208000000001</v>
      </c>
      <c r="G83" s="131">
        <f>'ПР 8 ведом'!H645</f>
        <v>954.75760000000025</v>
      </c>
      <c r="H83" s="89"/>
      <c r="I83" s="89"/>
      <c r="J83" s="89"/>
      <c r="K83" s="89"/>
      <c r="L83" s="89"/>
      <c r="M83" s="89"/>
    </row>
    <row r="84" spans="1:13" s="52" customFormat="1" ht="33.75" customHeight="1" x14ac:dyDescent="0.2">
      <c r="A84" s="69" t="s">
        <v>170</v>
      </c>
      <c r="B84" s="68" t="s">
        <v>122</v>
      </c>
      <c r="C84" s="67" t="s">
        <v>222</v>
      </c>
      <c r="D84" s="67" t="s">
        <v>498</v>
      </c>
      <c r="E84" s="68">
        <v>129</v>
      </c>
      <c r="F84" s="131">
        <f>'ПР 8 ведом'!G646</f>
        <v>294.27080000000001</v>
      </c>
      <c r="G84" s="131">
        <f>'ПР 8 ведом'!H646</f>
        <v>288.33260000000001</v>
      </c>
      <c r="H84" s="90"/>
      <c r="I84" s="90"/>
      <c r="J84" s="90"/>
      <c r="K84" s="90"/>
      <c r="L84" s="90"/>
      <c r="M84" s="90"/>
    </row>
    <row r="85" spans="1:13" s="52" customFormat="1" ht="22.5" customHeight="1" x14ac:dyDescent="0.2">
      <c r="A85" s="66" t="s">
        <v>499</v>
      </c>
      <c r="B85" s="68" t="s">
        <v>122</v>
      </c>
      <c r="C85" s="67" t="s">
        <v>222</v>
      </c>
      <c r="D85" s="67" t="s">
        <v>500</v>
      </c>
      <c r="E85" s="68">
        <v>122</v>
      </c>
      <c r="F85" s="131">
        <f>'ПР 8 ведом'!G649</f>
        <v>11.4176</v>
      </c>
      <c r="G85" s="131">
        <f>'ПР 8 ведом'!H649</f>
        <v>11.187200000000002</v>
      </c>
      <c r="H85" s="90"/>
      <c r="I85" s="90"/>
      <c r="J85" s="90"/>
      <c r="K85" s="90"/>
      <c r="L85" s="90"/>
      <c r="M85" s="90"/>
    </row>
    <row r="86" spans="1:13" s="59" customFormat="1" ht="24.75" customHeight="1" x14ac:dyDescent="0.2">
      <c r="A86" s="66" t="s">
        <v>149</v>
      </c>
      <c r="B86" s="68" t="s">
        <v>122</v>
      </c>
      <c r="C86" s="67" t="s">
        <v>222</v>
      </c>
      <c r="D86" s="67" t="s">
        <v>500</v>
      </c>
      <c r="E86" s="68" t="s">
        <v>150</v>
      </c>
      <c r="F86" s="131">
        <f>F87</f>
        <v>64.4024</v>
      </c>
      <c r="G86" s="131">
        <f>G87</f>
        <v>63.102800000000009</v>
      </c>
      <c r="H86" s="89"/>
      <c r="I86" s="89"/>
      <c r="J86" s="89"/>
      <c r="K86" s="89"/>
      <c r="L86" s="89"/>
      <c r="M86" s="89"/>
    </row>
    <row r="87" spans="1:13" s="59" customFormat="1" ht="27.75" customHeight="1" x14ac:dyDescent="0.2">
      <c r="A87" s="70" t="s">
        <v>151</v>
      </c>
      <c r="B87" s="68" t="s">
        <v>122</v>
      </c>
      <c r="C87" s="67" t="s">
        <v>222</v>
      </c>
      <c r="D87" s="67" t="s">
        <v>500</v>
      </c>
      <c r="E87" s="68" t="s">
        <v>152</v>
      </c>
      <c r="F87" s="131">
        <f>F89+F88</f>
        <v>64.4024</v>
      </c>
      <c r="G87" s="131">
        <f>G89+G88</f>
        <v>63.102800000000009</v>
      </c>
      <c r="H87" s="89"/>
      <c r="I87" s="89"/>
      <c r="J87" s="89"/>
      <c r="K87" s="89"/>
      <c r="L87" s="89"/>
      <c r="M87" s="89"/>
    </row>
    <row r="88" spans="1:13" s="59" customFormat="1" ht="27.75" customHeight="1" x14ac:dyDescent="0.2">
      <c r="A88" s="70" t="s">
        <v>171</v>
      </c>
      <c r="B88" s="68" t="s">
        <v>122</v>
      </c>
      <c r="C88" s="67" t="s">
        <v>222</v>
      </c>
      <c r="D88" s="67" t="s">
        <v>500</v>
      </c>
      <c r="E88" s="68">
        <v>242</v>
      </c>
      <c r="F88" s="131">
        <f>'ПР 8 ведом'!G652</f>
        <v>38.534400000000005</v>
      </c>
      <c r="G88" s="131">
        <f>'ПР 8 ведом'!H652</f>
        <v>37.756800000000005</v>
      </c>
      <c r="H88" s="89"/>
      <c r="I88" s="89"/>
      <c r="J88" s="89"/>
      <c r="K88" s="89"/>
      <c r="L88" s="89"/>
      <c r="M88" s="89"/>
    </row>
    <row r="89" spans="1:13" s="59" customFormat="1" ht="27.75" customHeight="1" x14ac:dyDescent="0.2">
      <c r="A89" s="70" t="s">
        <v>153</v>
      </c>
      <c r="B89" s="68" t="s">
        <v>122</v>
      </c>
      <c r="C89" s="67" t="s">
        <v>222</v>
      </c>
      <c r="D89" s="67" t="s">
        <v>500</v>
      </c>
      <c r="E89" s="68" t="s">
        <v>154</v>
      </c>
      <c r="F89" s="131">
        <f>'ПР 8 ведом'!G653</f>
        <v>25.868000000000002</v>
      </c>
      <c r="G89" s="131">
        <f>'ПР 8 ведом'!H653</f>
        <v>25.346000000000004</v>
      </c>
      <c r="H89" s="89"/>
      <c r="I89" s="89"/>
      <c r="J89" s="89"/>
      <c r="K89" s="89"/>
      <c r="L89" s="89"/>
      <c r="M89" s="89"/>
    </row>
    <row r="90" spans="1:13" s="283" customFormat="1" ht="20.25" customHeight="1" x14ac:dyDescent="0.2">
      <c r="A90" s="212" t="s">
        <v>654</v>
      </c>
      <c r="B90" s="97" t="s">
        <v>122</v>
      </c>
      <c r="C90" s="99" t="s">
        <v>471</v>
      </c>
      <c r="D90" s="84" t="s">
        <v>666</v>
      </c>
      <c r="E90" s="68"/>
      <c r="F90" s="138">
        <f t="shared" ref="F90:G93" si="2">F91</f>
        <v>178.4</v>
      </c>
      <c r="G90" s="138">
        <f t="shared" si="2"/>
        <v>174.8</v>
      </c>
      <c r="H90" s="282"/>
      <c r="I90" s="282"/>
      <c r="J90" s="282"/>
      <c r="K90" s="282"/>
      <c r="L90" s="282"/>
      <c r="M90" s="282"/>
    </row>
    <row r="91" spans="1:13" s="283" customFormat="1" ht="20.25" customHeight="1" x14ac:dyDescent="0.2">
      <c r="A91" s="70" t="s">
        <v>667</v>
      </c>
      <c r="B91" s="68" t="s">
        <v>122</v>
      </c>
      <c r="C91" s="67" t="s">
        <v>471</v>
      </c>
      <c r="D91" s="84" t="s">
        <v>666</v>
      </c>
      <c r="E91" s="68"/>
      <c r="F91" s="131">
        <f t="shared" si="2"/>
        <v>178.4</v>
      </c>
      <c r="G91" s="131">
        <f t="shared" si="2"/>
        <v>174.8</v>
      </c>
      <c r="H91" s="282"/>
      <c r="I91" s="282"/>
      <c r="J91" s="282"/>
      <c r="K91" s="282"/>
      <c r="L91" s="282"/>
      <c r="M91" s="282"/>
    </row>
    <row r="92" spans="1:13" s="283" customFormat="1" ht="20.25" customHeight="1" x14ac:dyDescent="0.2">
      <c r="A92" s="83" t="s">
        <v>650</v>
      </c>
      <c r="B92" s="68" t="s">
        <v>122</v>
      </c>
      <c r="C92" s="67" t="s">
        <v>471</v>
      </c>
      <c r="D92" s="84" t="s">
        <v>666</v>
      </c>
      <c r="E92" s="84">
        <v>800</v>
      </c>
      <c r="F92" s="131">
        <f t="shared" si="2"/>
        <v>178.4</v>
      </c>
      <c r="G92" s="131">
        <f t="shared" si="2"/>
        <v>174.8</v>
      </c>
      <c r="H92" s="282"/>
      <c r="I92" s="282"/>
      <c r="J92" s="282"/>
      <c r="K92" s="282"/>
      <c r="L92" s="282"/>
      <c r="M92" s="282"/>
    </row>
    <row r="93" spans="1:13" s="283" customFormat="1" ht="20.25" customHeight="1" x14ac:dyDescent="0.2">
      <c r="A93" s="83" t="s">
        <v>151</v>
      </c>
      <c r="B93" s="68" t="s">
        <v>122</v>
      </c>
      <c r="C93" s="67" t="s">
        <v>471</v>
      </c>
      <c r="D93" s="84" t="s">
        <v>666</v>
      </c>
      <c r="E93" s="84">
        <v>800</v>
      </c>
      <c r="F93" s="131">
        <f t="shared" si="2"/>
        <v>178.4</v>
      </c>
      <c r="G93" s="131">
        <f t="shared" si="2"/>
        <v>174.8</v>
      </c>
      <c r="H93" s="282"/>
      <c r="I93" s="282"/>
      <c r="J93" s="282"/>
      <c r="K93" s="282"/>
      <c r="L93" s="282"/>
      <c r="M93" s="282"/>
    </row>
    <row r="94" spans="1:13" s="283" customFormat="1" ht="20.25" customHeight="1" x14ac:dyDescent="0.2">
      <c r="A94" s="115" t="s">
        <v>153</v>
      </c>
      <c r="B94" s="68" t="s">
        <v>122</v>
      </c>
      <c r="C94" s="67" t="s">
        <v>471</v>
      </c>
      <c r="D94" s="84" t="s">
        <v>666</v>
      </c>
      <c r="E94" s="84">
        <v>870</v>
      </c>
      <c r="F94" s="131">
        <f>'ПР 8 ведом'!G444</f>
        <v>178.4</v>
      </c>
      <c r="G94" s="131">
        <f>'ПР 8 ведом'!H444</f>
        <v>174.8</v>
      </c>
      <c r="H94" s="282"/>
      <c r="I94" s="282"/>
      <c r="J94" s="282"/>
      <c r="K94" s="282"/>
      <c r="L94" s="282"/>
      <c r="M94" s="282"/>
    </row>
    <row r="95" spans="1:13" s="283" customFormat="1" x14ac:dyDescent="0.2">
      <c r="A95" s="98" t="s">
        <v>333</v>
      </c>
      <c r="B95" s="96" t="s">
        <v>122</v>
      </c>
      <c r="C95" s="94" t="s">
        <v>334</v>
      </c>
      <c r="D95" s="68"/>
      <c r="E95" s="68"/>
      <c r="F95" s="138">
        <f>F96+F101+F105+F111</f>
        <v>465.416</v>
      </c>
      <c r="G95" s="138">
        <f>G96+G101+G105+G111</f>
        <v>465.50200000000001</v>
      </c>
      <c r="H95" s="148"/>
      <c r="I95" s="282"/>
      <c r="J95" s="282"/>
      <c r="K95" s="282"/>
      <c r="L95" s="282"/>
      <c r="M95" s="282"/>
    </row>
    <row r="96" spans="1:13" s="283" customFormat="1" ht="42" x14ac:dyDescent="0.2">
      <c r="A96" s="61" t="s">
        <v>383</v>
      </c>
      <c r="B96" s="96" t="s">
        <v>122</v>
      </c>
      <c r="C96" s="94" t="s">
        <v>334</v>
      </c>
      <c r="D96" s="96" t="s">
        <v>384</v>
      </c>
      <c r="E96" s="96"/>
      <c r="F96" s="131">
        <f t="shared" ref="F96:G99" si="3">F97</f>
        <v>35.68</v>
      </c>
      <c r="G96" s="131">
        <f t="shared" si="3"/>
        <v>34.960000000000008</v>
      </c>
      <c r="H96" s="148"/>
      <c r="I96" s="282"/>
      <c r="J96" s="282"/>
      <c r="K96" s="282"/>
      <c r="L96" s="282"/>
      <c r="M96" s="282"/>
    </row>
    <row r="97" spans="1:13" s="283" customFormat="1" ht="33.75" x14ac:dyDescent="0.2">
      <c r="A97" s="66" t="s">
        <v>385</v>
      </c>
      <c r="B97" s="68" t="s">
        <v>122</v>
      </c>
      <c r="C97" s="67" t="s">
        <v>334</v>
      </c>
      <c r="D97" s="68" t="s">
        <v>386</v>
      </c>
      <c r="E97" s="68"/>
      <c r="F97" s="131">
        <f t="shared" si="3"/>
        <v>35.68</v>
      </c>
      <c r="G97" s="131">
        <f t="shared" si="3"/>
        <v>34.960000000000008</v>
      </c>
      <c r="H97" s="148"/>
      <c r="I97" s="282"/>
      <c r="J97" s="282"/>
      <c r="K97" s="282"/>
      <c r="L97" s="282"/>
      <c r="M97" s="282"/>
    </row>
    <row r="98" spans="1:13" s="283" customFormat="1" ht="22.5" x14ac:dyDescent="0.2">
      <c r="A98" s="66" t="s">
        <v>149</v>
      </c>
      <c r="B98" s="68" t="s">
        <v>122</v>
      </c>
      <c r="C98" s="67" t="s">
        <v>334</v>
      </c>
      <c r="D98" s="68" t="s">
        <v>386</v>
      </c>
      <c r="E98" s="68" t="s">
        <v>150</v>
      </c>
      <c r="F98" s="131">
        <f t="shared" si="3"/>
        <v>35.68</v>
      </c>
      <c r="G98" s="131">
        <f t="shared" si="3"/>
        <v>34.960000000000008</v>
      </c>
      <c r="H98" s="148"/>
      <c r="I98" s="282"/>
      <c r="J98" s="282"/>
      <c r="K98" s="282"/>
      <c r="L98" s="282"/>
      <c r="M98" s="282"/>
    </row>
    <row r="99" spans="1:13" s="283" customFormat="1" ht="22.5" x14ac:dyDescent="0.2">
      <c r="A99" s="66" t="s">
        <v>151</v>
      </c>
      <c r="B99" s="68" t="s">
        <v>122</v>
      </c>
      <c r="C99" s="67" t="s">
        <v>334</v>
      </c>
      <c r="D99" s="68" t="s">
        <v>386</v>
      </c>
      <c r="E99" s="68" t="s">
        <v>152</v>
      </c>
      <c r="F99" s="131">
        <f t="shared" si="3"/>
        <v>35.68</v>
      </c>
      <c r="G99" s="131">
        <f t="shared" si="3"/>
        <v>34.960000000000008</v>
      </c>
      <c r="H99" s="148"/>
      <c r="I99" s="282"/>
      <c r="J99" s="282"/>
      <c r="K99" s="282"/>
      <c r="L99" s="282"/>
      <c r="M99" s="282"/>
    </row>
    <row r="100" spans="1:13" s="283" customFormat="1" ht="22.5" x14ac:dyDescent="0.2">
      <c r="A100" s="70" t="s">
        <v>153</v>
      </c>
      <c r="B100" s="68" t="s">
        <v>122</v>
      </c>
      <c r="C100" s="67" t="s">
        <v>334</v>
      </c>
      <c r="D100" s="68" t="s">
        <v>386</v>
      </c>
      <c r="E100" s="68" t="s">
        <v>154</v>
      </c>
      <c r="F100" s="131">
        <f>'ПР 8 ведом'!G450</f>
        <v>35.68</v>
      </c>
      <c r="G100" s="131">
        <f>'ПР 8 ведом'!H450</f>
        <v>34.960000000000008</v>
      </c>
      <c r="H100" s="148"/>
      <c r="I100" s="282"/>
      <c r="J100" s="282"/>
      <c r="K100" s="282"/>
      <c r="L100" s="282"/>
      <c r="M100" s="282"/>
    </row>
    <row r="101" spans="1:13" s="59" customFormat="1" ht="22.5" x14ac:dyDescent="0.2">
      <c r="A101" s="88" t="s">
        <v>387</v>
      </c>
      <c r="B101" s="68" t="s">
        <v>122</v>
      </c>
      <c r="C101" s="67" t="s">
        <v>334</v>
      </c>
      <c r="D101" s="68" t="s">
        <v>388</v>
      </c>
      <c r="E101" s="68"/>
      <c r="F101" s="131">
        <f t="shared" ref="F101:G103" si="4">F102</f>
        <v>74.036000000000001</v>
      </c>
      <c r="G101" s="131">
        <f t="shared" si="4"/>
        <v>72.542000000000016</v>
      </c>
      <c r="H101" s="89"/>
      <c r="I101" s="89"/>
      <c r="J101" s="89"/>
      <c r="K101" s="89"/>
      <c r="L101" s="89"/>
      <c r="M101" s="89"/>
    </row>
    <row r="102" spans="1:13" s="59" customFormat="1" ht="22.5" x14ac:dyDescent="0.2">
      <c r="A102" s="66" t="s">
        <v>149</v>
      </c>
      <c r="B102" s="68" t="s">
        <v>122</v>
      </c>
      <c r="C102" s="67" t="s">
        <v>334</v>
      </c>
      <c r="D102" s="68" t="s">
        <v>388</v>
      </c>
      <c r="E102" s="68" t="s">
        <v>150</v>
      </c>
      <c r="F102" s="131">
        <f t="shared" si="4"/>
        <v>74.036000000000001</v>
      </c>
      <c r="G102" s="131">
        <f t="shared" si="4"/>
        <v>72.542000000000016</v>
      </c>
      <c r="H102" s="89"/>
      <c r="I102" s="89"/>
      <c r="J102" s="89"/>
      <c r="K102" s="89"/>
      <c r="L102" s="89"/>
      <c r="M102" s="89"/>
    </row>
    <row r="103" spans="1:13" s="59" customFormat="1" ht="22.5" x14ac:dyDescent="0.2">
      <c r="A103" s="66" t="s">
        <v>151</v>
      </c>
      <c r="B103" s="68" t="s">
        <v>122</v>
      </c>
      <c r="C103" s="67" t="s">
        <v>334</v>
      </c>
      <c r="D103" s="68" t="s">
        <v>388</v>
      </c>
      <c r="E103" s="68" t="s">
        <v>152</v>
      </c>
      <c r="F103" s="131">
        <f t="shared" si="4"/>
        <v>74.036000000000001</v>
      </c>
      <c r="G103" s="131">
        <f t="shared" si="4"/>
        <v>72.542000000000016</v>
      </c>
      <c r="H103" s="89"/>
      <c r="I103" s="89"/>
      <c r="J103" s="89"/>
      <c r="K103" s="89"/>
      <c r="L103" s="89"/>
      <c r="M103" s="89"/>
    </row>
    <row r="104" spans="1:13" s="59" customFormat="1" ht="22.5" x14ac:dyDescent="0.2">
      <c r="A104" s="70" t="s">
        <v>153</v>
      </c>
      <c r="B104" s="68" t="s">
        <v>122</v>
      </c>
      <c r="C104" s="67" t="s">
        <v>334</v>
      </c>
      <c r="D104" s="68" t="s">
        <v>388</v>
      </c>
      <c r="E104" s="68" t="s">
        <v>154</v>
      </c>
      <c r="F104" s="131">
        <f>'ПР 8 ведом'!G454</f>
        <v>74.036000000000001</v>
      </c>
      <c r="G104" s="131">
        <f>'ПР 8 ведом'!H454</f>
        <v>72.542000000000016</v>
      </c>
      <c r="H104" s="89"/>
      <c r="I104" s="89"/>
      <c r="J104" s="89"/>
      <c r="K104" s="89"/>
      <c r="L104" s="89"/>
      <c r="M104" s="89"/>
    </row>
    <row r="105" spans="1:13" s="59" customFormat="1" ht="36" customHeight="1" x14ac:dyDescent="0.2">
      <c r="A105" s="69" t="s">
        <v>76</v>
      </c>
      <c r="B105" s="68" t="s">
        <v>122</v>
      </c>
      <c r="C105" s="67" t="s">
        <v>334</v>
      </c>
      <c r="D105" s="68" t="s">
        <v>336</v>
      </c>
      <c r="E105" s="68"/>
      <c r="F105" s="131">
        <f>F106+F109</f>
        <v>6.3000000000000007</v>
      </c>
      <c r="G105" s="131">
        <f>G106+G109</f>
        <v>6.3000000000000007</v>
      </c>
      <c r="H105" s="89"/>
      <c r="I105" s="89"/>
      <c r="J105" s="89"/>
      <c r="K105" s="89"/>
      <c r="L105" s="89"/>
      <c r="M105" s="89"/>
    </row>
    <row r="106" spans="1:13" s="59" customFormat="1" ht="12" customHeight="1" x14ac:dyDescent="0.2">
      <c r="A106" s="83" t="s">
        <v>650</v>
      </c>
      <c r="B106" s="84" t="s">
        <v>122</v>
      </c>
      <c r="C106" s="87" t="s">
        <v>334</v>
      </c>
      <c r="D106" s="84" t="s">
        <v>336</v>
      </c>
      <c r="E106" s="84">
        <v>200</v>
      </c>
      <c r="F106" s="131">
        <f>F107</f>
        <v>0.9</v>
      </c>
      <c r="G106" s="131">
        <f>G107</f>
        <v>0.9</v>
      </c>
      <c r="H106" s="89"/>
      <c r="I106" s="89"/>
      <c r="J106" s="89"/>
      <c r="K106" s="89"/>
      <c r="L106" s="89"/>
      <c r="M106" s="89"/>
    </row>
    <row r="107" spans="1:13" s="59" customFormat="1" ht="12" customHeight="1" x14ac:dyDescent="0.2">
      <c r="A107" s="83" t="s">
        <v>151</v>
      </c>
      <c r="B107" s="84" t="s">
        <v>122</v>
      </c>
      <c r="C107" s="87" t="s">
        <v>334</v>
      </c>
      <c r="D107" s="84" t="s">
        <v>336</v>
      </c>
      <c r="E107" s="84">
        <v>240</v>
      </c>
      <c r="F107" s="131">
        <f>F108</f>
        <v>0.9</v>
      </c>
      <c r="G107" s="131">
        <f>G108</f>
        <v>0.9</v>
      </c>
      <c r="H107" s="89"/>
      <c r="I107" s="89"/>
      <c r="J107" s="89"/>
      <c r="K107" s="89"/>
      <c r="L107" s="89"/>
      <c r="M107" s="89"/>
    </row>
    <row r="108" spans="1:13" s="59" customFormat="1" ht="12" customHeight="1" x14ac:dyDescent="0.2">
      <c r="A108" s="115" t="s">
        <v>153</v>
      </c>
      <c r="B108" s="84" t="s">
        <v>122</v>
      </c>
      <c r="C108" s="87" t="s">
        <v>334</v>
      </c>
      <c r="D108" s="84" t="s">
        <v>336</v>
      </c>
      <c r="E108" s="84">
        <v>244</v>
      </c>
      <c r="F108" s="131">
        <f>'ПР 8 ведом'!G458</f>
        <v>0.9</v>
      </c>
      <c r="G108" s="131">
        <f>'ПР 8 ведом'!H458</f>
        <v>0.9</v>
      </c>
      <c r="H108" s="89"/>
      <c r="I108" s="89"/>
      <c r="J108" s="89"/>
      <c r="K108" s="89"/>
      <c r="L108" s="89"/>
      <c r="M108" s="89"/>
    </row>
    <row r="109" spans="1:13" s="59" customFormat="1" ht="15.75" customHeight="1" x14ac:dyDescent="0.2">
      <c r="A109" s="83" t="s">
        <v>337</v>
      </c>
      <c r="B109" s="68" t="s">
        <v>122</v>
      </c>
      <c r="C109" s="67" t="s">
        <v>334</v>
      </c>
      <c r="D109" s="68" t="s">
        <v>336</v>
      </c>
      <c r="E109" s="68">
        <v>500</v>
      </c>
      <c r="F109" s="131">
        <f>F110</f>
        <v>5.4</v>
      </c>
      <c r="G109" s="131">
        <f>G110</f>
        <v>5.4</v>
      </c>
      <c r="H109" s="89"/>
      <c r="I109" s="89"/>
      <c r="J109" s="89"/>
      <c r="K109" s="89"/>
      <c r="L109" s="89"/>
      <c r="M109" s="89"/>
    </row>
    <row r="110" spans="1:13" s="59" customFormat="1" ht="15.75" customHeight="1" x14ac:dyDescent="0.2">
      <c r="A110" s="66" t="s">
        <v>338</v>
      </c>
      <c r="B110" s="68" t="s">
        <v>122</v>
      </c>
      <c r="C110" s="67" t="s">
        <v>334</v>
      </c>
      <c r="D110" s="68" t="s">
        <v>336</v>
      </c>
      <c r="E110" s="68">
        <v>530</v>
      </c>
      <c r="F110" s="131">
        <f>'ПР 8 ведом'!G378</f>
        <v>5.4</v>
      </c>
      <c r="G110" s="131">
        <f>'ПР 8 ведом'!H378</f>
        <v>5.4</v>
      </c>
      <c r="H110" s="89"/>
      <c r="I110" s="89"/>
      <c r="J110" s="89"/>
      <c r="K110" s="89"/>
      <c r="L110" s="89"/>
      <c r="M110" s="89"/>
    </row>
    <row r="111" spans="1:13" s="52" customFormat="1" ht="32.25" customHeight="1" x14ac:dyDescent="0.2">
      <c r="A111" s="85" t="s">
        <v>82</v>
      </c>
      <c r="B111" s="68" t="s">
        <v>122</v>
      </c>
      <c r="C111" s="67" t="s">
        <v>334</v>
      </c>
      <c r="D111" s="68" t="s">
        <v>389</v>
      </c>
      <c r="E111" s="68" t="s">
        <v>184</v>
      </c>
      <c r="F111" s="131">
        <f>F112+F117</f>
        <v>349.4</v>
      </c>
      <c r="G111" s="131">
        <f>G112+G117</f>
        <v>351.7</v>
      </c>
      <c r="H111" s="90"/>
      <c r="I111" s="90"/>
      <c r="J111" s="90"/>
      <c r="K111" s="90"/>
      <c r="L111" s="90"/>
      <c r="M111" s="90"/>
    </row>
    <row r="112" spans="1:13" s="52" customFormat="1" ht="45" x14ac:dyDescent="0.2">
      <c r="A112" s="66" t="s">
        <v>139</v>
      </c>
      <c r="B112" s="68" t="s">
        <v>122</v>
      </c>
      <c r="C112" s="67" t="s">
        <v>334</v>
      </c>
      <c r="D112" s="68" t="s">
        <v>389</v>
      </c>
      <c r="E112" s="68" t="s">
        <v>140</v>
      </c>
      <c r="F112" s="131">
        <f>F113</f>
        <v>325.5</v>
      </c>
      <c r="G112" s="131">
        <f>G113</f>
        <v>325.5</v>
      </c>
      <c r="H112" s="90"/>
      <c r="I112" s="90"/>
      <c r="J112" s="90"/>
      <c r="K112" s="90"/>
      <c r="L112" s="90"/>
      <c r="M112" s="90"/>
    </row>
    <row r="113" spans="1:13" s="52" customFormat="1" ht="22.5" customHeight="1" x14ac:dyDescent="0.2">
      <c r="A113" s="66" t="s">
        <v>168</v>
      </c>
      <c r="B113" s="68" t="s">
        <v>122</v>
      </c>
      <c r="C113" s="67" t="s">
        <v>334</v>
      </c>
      <c r="D113" s="68" t="s">
        <v>389</v>
      </c>
      <c r="E113" s="68" t="s">
        <v>232</v>
      </c>
      <c r="F113" s="131">
        <f>F114+F115</f>
        <v>325.5</v>
      </c>
      <c r="G113" s="131">
        <f>G114+G115</f>
        <v>325.5</v>
      </c>
      <c r="H113" s="90"/>
      <c r="I113" s="90"/>
      <c r="J113" s="90"/>
      <c r="K113" s="90"/>
      <c r="L113" s="90"/>
      <c r="M113" s="90"/>
    </row>
    <row r="114" spans="1:13" s="52" customFormat="1" ht="22.5" customHeight="1" x14ac:dyDescent="0.2">
      <c r="A114" s="69" t="s">
        <v>169</v>
      </c>
      <c r="B114" s="68" t="s">
        <v>122</v>
      </c>
      <c r="C114" s="67" t="s">
        <v>334</v>
      </c>
      <c r="D114" s="68" t="s">
        <v>389</v>
      </c>
      <c r="E114" s="68" t="s">
        <v>233</v>
      </c>
      <c r="F114" s="131">
        <f>'ПР 8 ведом'!G462</f>
        <v>250</v>
      </c>
      <c r="G114" s="131">
        <f>'ПР 8 ведом'!H462</f>
        <v>250</v>
      </c>
      <c r="H114" s="90"/>
      <c r="I114" s="90"/>
      <c r="J114" s="90"/>
      <c r="K114" s="90"/>
      <c r="L114" s="90"/>
      <c r="M114" s="90"/>
    </row>
    <row r="115" spans="1:13" s="52" customFormat="1" ht="33" customHeight="1" x14ac:dyDescent="0.2">
      <c r="A115" s="69" t="s">
        <v>170</v>
      </c>
      <c r="B115" s="68" t="s">
        <v>122</v>
      </c>
      <c r="C115" s="67" t="s">
        <v>334</v>
      </c>
      <c r="D115" s="68" t="s">
        <v>389</v>
      </c>
      <c r="E115" s="68">
        <v>129</v>
      </c>
      <c r="F115" s="131">
        <f>'ПР 8 ведом'!G463</f>
        <v>75.5</v>
      </c>
      <c r="G115" s="131">
        <f>'ПР 8 ведом'!H463</f>
        <v>75.5</v>
      </c>
      <c r="H115" s="90"/>
      <c r="I115" s="90"/>
      <c r="J115" s="90"/>
      <c r="K115" s="90"/>
      <c r="L115" s="90"/>
      <c r="M115" s="90"/>
    </row>
    <row r="116" spans="1:13" s="52" customFormat="1" ht="21" customHeight="1" x14ac:dyDescent="0.2">
      <c r="A116" s="66" t="s">
        <v>149</v>
      </c>
      <c r="B116" s="68" t="s">
        <v>122</v>
      </c>
      <c r="C116" s="67" t="s">
        <v>334</v>
      </c>
      <c r="D116" s="68" t="s">
        <v>389</v>
      </c>
      <c r="E116" s="68">
        <v>200</v>
      </c>
      <c r="F116" s="131">
        <f>F117</f>
        <v>23.9</v>
      </c>
      <c r="G116" s="131">
        <f>G117</f>
        <v>26.2</v>
      </c>
      <c r="H116" s="90"/>
      <c r="I116" s="90"/>
      <c r="J116" s="90"/>
      <c r="K116" s="90"/>
      <c r="L116" s="90"/>
      <c r="M116" s="90"/>
    </row>
    <row r="117" spans="1:13" s="59" customFormat="1" ht="21" customHeight="1" x14ac:dyDescent="0.2">
      <c r="A117" s="66" t="s">
        <v>151</v>
      </c>
      <c r="B117" s="68" t="s">
        <v>122</v>
      </c>
      <c r="C117" s="67" t="s">
        <v>334</v>
      </c>
      <c r="D117" s="68" t="s">
        <v>389</v>
      </c>
      <c r="E117" s="68" t="s">
        <v>152</v>
      </c>
      <c r="F117" s="131">
        <f>F118</f>
        <v>23.9</v>
      </c>
      <c r="G117" s="131">
        <f>G118</f>
        <v>26.2</v>
      </c>
      <c r="H117" s="89"/>
      <c r="I117" s="89"/>
      <c r="J117" s="89"/>
      <c r="K117" s="89"/>
      <c r="L117" s="89"/>
      <c r="M117" s="89"/>
    </row>
    <row r="118" spans="1:13" s="59" customFormat="1" ht="21" customHeight="1" x14ac:dyDescent="0.2">
      <c r="A118" s="70" t="s">
        <v>153</v>
      </c>
      <c r="B118" s="68" t="s">
        <v>122</v>
      </c>
      <c r="C118" s="67" t="s">
        <v>334</v>
      </c>
      <c r="D118" s="68" t="s">
        <v>389</v>
      </c>
      <c r="E118" s="68" t="s">
        <v>154</v>
      </c>
      <c r="F118" s="131">
        <f>'ПР 8 ведом'!G466</f>
        <v>23.9</v>
      </c>
      <c r="G118" s="131">
        <f>'ПР 8 ведом'!H466</f>
        <v>26.2</v>
      </c>
      <c r="H118" s="89"/>
      <c r="I118" s="89"/>
      <c r="J118" s="89"/>
      <c r="K118" s="89"/>
      <c r="L118" s="89"/>
      <c r="M118" s="89"/>
    </row>
    <row r="119" spans="1:13" s="52" customFormat="1" x14ac:dyDescent="0.2">
      <c r="A119" s="341" t="s">
        <v>339</v>
      </c>
      <c r="B119" s="337" t="s">
        <v>254</v>
      </c>
      <c r="C119" s="337"/>
      <c r="D119" s="328"/>
      <c r="E119" s="328"/>
      <c r="F119" s="338">
        <f t="shared" ref="F119:G121" si="5">F120</f>
        <v>673.2</v>
      </c>
      <c r="G119" s="338">
        <f t="shared" si="5"/>
        <v>677.6</v>
      </c>
      <c r="H119" s="148"/>
      <c r="I119" s="90"/>
      <c r="J119" s="90"/>
      <c r="K119" s="90"/>
      <c r="L119" s="90"/>
      <c r="M119" s="90"/>
    </row>
    <row r="120" spans="1:13" s="52" customFormat="1" x14ac:dyDescent="0.2">
      <c r="A120" s="61" t="s">
        <v>340</v>
      </c>
      <c r="B120" s="94" t="s">
        <v>254</v>
      </c>
      <c r="C120" s="94" t="s">
        <v>188</v>
      </c>
      <c r="D120" s="94"/>
      <c r="E120" s="94"/>
      <c r="F120" s="138">
        <f t="shared" si="5"/>
        <v>673.2</v>
      </c>
      <c r="G120" s="138">
        <f t="shared" si="5"/>
        <v>677.6</v>
      </c>
      <c r="H120" s="90"/>
      <c r="I120" s="90"/>
      <c r="J120" s="90"/>
      <c r="K120" s="90"/>
      <c r="L120" s="90"/>
      <c r="M120" s="90"/>
    </row>
    <row r="121" spans="1:13" s="283" customFormat="1" x14ac:dyDescent="0.2">
      <c r="A121" s="61" t="s">
        <v>155</v>
      </c>
      <c r="B121" s="94" t="s">
        <v>254</v>
      </c>
      <c r="C121" s="94" t="s">
        <v>188</v>
      </c>
      <c r="D121" s="213" t="s">
        <v>335</v>
      </c>
      <c r="E121" s="96"/>
      <c r="F121" s="138">
        <f t="shared" si="5"/>
        <v>673.2</v>
      </c>
      <c r="G121" s="138">
        <f t="shared" si="5"/>
        <v>677.6</v>
      </c>
      <c r="H121" s="282"/>
      <c r="I121" s="282"/>
      <c r="J121" s="282"/>
      <c r="K121" s="282"/>
      <c r="L121" s="282"/>
      <c r="M121" s="282"/>
    </row>
    <row r="122" spans="1:13" s="59" customFormat="1" ht="56.25" x14ac:dyDescent="0.2">
      <c r="A122" s="82" t="s">
        <v>390</v>
      </c>
      <c r="B122" s="67" t="s">
        <v>254</v>
      </c>
      <c r="C122" s="67" t="s">
        <v>188</v>
      </c>
      <c r="D122" s="67" t="s">
        <v>341</v>
      </c>
      <c r="E122" s="68"/>
      <c r="F122" s="131">
        <f>F123+F127+F132</f>
        <v>673.2</v>
      </c>
      <c r="G122" s="131">
        <f>G123+G127+G132</f>
        <v>677.6</v>
      </c>
      <c r="H122" s="89"/>
      <c r="I122" s="89"/>
      <c r="J122" s="89"/>
      <c r="K122" s="89"/>
      <c r="L122" s="89"/>
      <c r="M122" s="89"/>
    </row>
    <row r="123" spans="1:13" s="52" customFormat="1" ht="45" x14ac:dyDescent="0.2">
      <c r="A123" s="66" t="s">
        <v>139</v>
      </c>
      <c r="B123" s="67" t="s">
        <v>254</v>
      </c>
      <c r="C123" s="67" t="s">
        <v>188</v>
      </c>
      <c r="D123" s="67" t="s">
        <v>341</v>
      </c>
      <c r="E123" s="68" t="s">
        <v>140</v>
      </c>
      <c r="F123" s="131">
        <f>F124</f>
        <v>169.3</v>
      </c>
      <c r="G123" s="131">
        <f>G124</f>
        <v>169.3</v>
      </c>
      <c r="H123" s="90"/>
      <c r="I123" s="90"/>
      <c r="J123" s="90"/>
      <c r="K123" s="90"/>
      <c r="L123" s="90"/>
      <c r="M123" s="90"/>
    </row>
    <row r="124" spans="1:13" s="52" customFormat="1" ht="12" customHeight="1" x14ac:dyDescent="0.2">
      <c r="A124" s="66" t="s">
        <v>141</v>
      </c>
      <c r="B124" s="67" t="s">
        <v>254</v>
      </c>
      <c r="C124" s="67" t="s">
        <v>188</v>
      </c>
      <c r="D124" s="67" t="s">
        <v>341</v>
      </c>
      <c r="E124" s="68">
        <v>110</v>
      </c>
      <c r="F124" s="131">
        <f>F125+F126</f>
        <v>169.3</v>
      </c>
      <c r="G124" s="131">
        <f>G125+G126</f>
        <v>169.3</v>
      </c>
      <c r="H124" s="90"/>
      <c r="I124" s="90"/>
      <c r="J124" s="90"/>
      <c r="K124" s="90"/>
      <c r="L124" s="90"/>
      <c r="M124" s="90"/>
    </row>
    <row r="125" spans="1:13" s="52" customFormat="1" ht="12" customHeight="1" x14ac:dyDescent="0.2">
      <c r="A125" s="66" t="s">
        <v>142</v>
      </c>
      <c r="B125" s="67" t="s">
        <v>254</v>
      </c>
      <c r="C125" s="67" t="s">
        <v>188</v>
      </c>
      <c r="D125" s="67" t="s">
        <v>341</v>
      </c>
      <c r="E125" s="68">
        <v>111</v>
      </c>
      <c r="F125" s="131">
        <f>'ПР 8 ведом'!G473</f>
        <v>130</v>
      </c>
      <c r="G125" s="131">
        <f>'ПР 8 ведом'!H473</f>
        <v>130</v>
      </c>
      <c r="H125" s="90"/>
      <c r="I125" s="90"/>
      <c r="J125" s="90"/>
      <c r="K125" s="90"/>
      <c r="L125" s="90"/>
      <c r="M125" s="90"/>
    </row>
    <row r="126" spans="1:13" s="52" customFormat="1" ht="21" customHeight="1" x14ac:dyDescent="0.2">
      <c r="A126" s="69" t="s">
        <v>143</v>
      </c>
      <c r="B126" s="67" t="s">
        <v>254</v>
      </c>
      <c r="C126" s="67" t="s">
        <v>188</v>
      </c>
      <c r="D126" s="67" t="s">
        <v>341</v>
      </c>
      <c r="E126" s="68">
        <v>119</v>
      </c>
      <c r="F126" s="131">
        <f>'ПР 8 ведом'!G474</f>
        <v>39.299999999999997</v>
      </c>
      <c r="G126" s="131">
        <f>'ПР 8 ведом'!H474</f>
        <v>39.299999999999997</v>
      </c>
      <c r="H126" s="90"/>
      <c r="I126" s="90"/>
      <c r="J126" s="90"/>
      <c r="K126" s="90"/>
      <c r="L126" s="90"/>
      <c r="M126" s="90"/>
    </row>
    <row r="127" spans="1:13" s="52" customFormat="1" ht="21" customHeight="1" x14ac:dyDescent="0.2">
      <c r="A127" s="66" t="s">
        <v>149</v>
      </c>
      <c r="B127" s="67" t="s">
        <v>254</v>
      </c>
      <c r="C127" s="67" t="s">
        <v>188</v>
      </c>
      <c r="D127" s="67" t="s">
        <v>341</v>
      </c>
      <c r="E127" s="68">
        <v>200</v>
      </c>
      <c r="F127" s="131">
        <f>F128</f>
        <v>4.3</v>
      </c>
      <c r="G127" s="131">
        <f>G128</f>
        <v>5.3</v>
      </c>
      <c r="H127" s="90"/>
      <c r="I127" s="90"/>
      <c r="J127" s="90"/>
      <c r="K127" s="90"/>
      <c r="L127" s="90"/>
      <c r="M127" s="90"/>
    </row>
    <row r="128" spans="1:13" s="59" customFormat="1" ht="21" customHeight="1" x14ac:dyDescent="0.2">
      <c r="A128" s="66" t="s">
        <v>151</v>
      </c>
      <c r="B128" s="67" t="s">
        <v>254</v>
      </c>
      <c r="C128" s="67" t="s">
        <v>188</v>
      </c>
      <c r="D128" s="67" t="s">
        <v>341</v>
      </c>
      <c r="E128" s="68" t="s">
        <v>152</v>
      </c>
      <c r="F128" s="131">
        <f>F129</f>
        <v>4.3</v>
      </c>
      <c r="G128" s="131">
        <f>G129</f>
        <v>5.3</v>
      </c>
      <c r="H128" s="89"/>
      <c r="I128" s="89"/>
      <c r="J128" s="89"/>
      <c r="K128" s="89"/>
      <c r="L128" s="89"/>
      <c r="M128" s="89"/>
    </row>
    <row r="129" spans="1:13" s="59" customFormat="1" ht="24" customHeight="1" x14ac:dyDescent="0.2">
      <c r="A129" s="70" t="s">
        <v>153</v>
      </c>
      <c r="B129" s="67" t="s">
        <v>254</v>
      </c>
      <c r="C129" s="67" t="s">
        <v>188</v>
      </c>
      <c r="D129" s="67" t="s">
        <v>341</v>
      </c>
      <c r="E129" s="68" t="s">
        <v>154</v>
      </c>
      <c r="F129" s="131">
        <f>'ПР 8 ведом'!G477</f>
        <v>4.3</v>
      </c>
      <c r="G129" s="131">
        <f>'ПР 8 ведом'!H477</f>
        <v>5.3</v>
      </c>
      <c r="H129" s="89"/>
      <c r="I129" s="89"/>
      <c r="J129" s="89"/>
      <c r="K129" s="89"/>
      <c r="L129" s="89"/>
      <c r="M129" s="89"/>
    </row>
    <row r="130" spans="1:13" s="59" customFormat="1" ht="24" customHeight="1" x14ac:dyDescent="0.2">
      <c r="A130" s="61" t="s">
        <v>155</v>
      </c>
      <c r="B130" s="94" t="s">
        <v>254</v>
      </c>
      <c r="C130" s="94" t="s">
        <v>188</v>
      </c>
      <c r="D130" s="213" t="s">
        <v>335</v>
      </c>
      <c r="E130" s="96"/>
      <c r="F130" s="131">
        <f t="shared" ref="F130:G132" si="6">F131</f>
        <v>499.6</v>
      </c>
      <c r="G130" s="131">
        <f t="shared" si="6"/>
        <v>503</v>
      </c>
      <c r="H130" s="89"/>
      <c r="I130" s="89"/>
      <c r="J130" s="89"/>
      <c r="K130" s="89"/>
      <c r="L130" s="89"/>
      <c r="M130" s="89"/>
    </row>
    <row r="131" spans="1:13" s="59" customFormat="1" ht="33.75" customHeight="1" x14ac:dyDescent="0.2">
      <c r="A131" s="82" t="s">
        <v>72</v>
      </c>
      <c r="B131" s="67" t="s">
        <v>254</v>
      </c>
      <c r="C131" s="67" t="s">
        <v>188</v>
      </c>
      <c r="D131" s="67" t="s">
        <v>341</v>
      </c>
      <c r="E131" s="68"/>
      <c r="F131" s="131">
        <f t="shared" si="6"/>
        <v>499.6</v>
      </c>
      <c r="G131" s="131">
        <f t="shared" si="6"/>
        <v>503</v>
      </c>
      <c r="H131" s="89"/>
      <c r="I131" s="89"/>
      <c r="J131" s="89"/>
      <c r="K131" s="89"/>
      <c r="L131" s="89"/>
      <c r="M131" s="89"/>
    </row>
    <row r="132" spans="1:13" s="59" customFormat="1" ht="24" customHeight="1" x14ac:dyDescent="0.2">
      <c r="A132" s="83" t="s">
        <v>337</v>
      </c>
      <c r="B132" s="67" t="s">
        <v>254</v>
      </c>
      <c r="C132" s="67" t="s">
        <v>188</v>
      </c>
      <c r="D132" s="67" t="s">
        <v>341</v>
      </c>
      <c r="E132" s="67" t="s">
        <v>342</v>
      </c>
      <c r="F132" s="131">
        <f t="shared" si="6"/>
        <v>499.6</v>
      </c>
      <c r="G132" s="131">
        <f t="shared" si="6"/>
        <v>503</v>
      </c>
      <c r="H132" s="89"/>
      <c r="I132" s="89"/>
      <c r="J132" s="89"/>
      <c r="K132" s="89"/>
      <c r="L132" s="89"/>
      <c r="M132" s="89"/>
    </row>
    <row r="133" spans="1:13" s="59" customFormat="1" ht="24" customHeight="1" x14ac:dyDescent="0.2">
      <c r="A133" s="66" t="s">
        <v>338</v>
      </c>
      <c r="B133" s="67" t="s">
        <v>254</v>
      </c>
      <c r="C133" s="67" t="s">
        <v>188</v>
      </c>
      <c r="D133" s="67" t="s">
        <v>341</v>
      </c>
      <c r="E133" s="67" t="s">
        <v>343</v>
      </c>
      <c r="F133" s="131">
        <f>'ПР 8 ведом'!G384</f>
        <v>499.6</v>
      </c>
      <c r="G133" s="131">
        <f>'ПР 8 ведом'!H384</f>
        <v>503</v>
      </c>
      <c r="H133" s="89"/>
      <c r="I133" s="89"/>
      <c r="J133" s="89"/>
      <c r="K133" s="89"/>
      <c r="L133" s="89"/>
      <c r="M133" s="89"/>
    </row>
    <row r="134" spans="1:13" s="285" customFormat="1" ht="21" x14ac:dyDescent="0.2">
      <c r="A134" s="341" t="s">
        <v>391</v>
      </c>
      <c r="B134" s="328" t="s">
        <v>188</v>
      </c>
      <c r="C134" s="337" t="s">
        <v>182</v>
      </c>
      <c r="D134" s="328" t="s">
        <v>183</v>
      </c>
      <c r="E134" s="328" t="s">
        <v>184</v>
      </c>
      <c r="F134" s="338">
        <f>F135+F150</f>
        <v>1392.5148000000002</v>
      </c>
      <c r="G134" s="338">
        <f>G135+G150</f>
        <v>1368.4506000000001</v>
      </c>
      <c r="H134" s="157"/>
      <c r="I134" s="284"/>
      <c r="J134" s="284"/>
      <c r="K134" s="284"/>
      <c r="L134" s="284"/>
      <c r="M134" s="284"/>
    </row>
    <row r="135" spans="1:13" s="285" customFormat="1" ht="31.5" x14ac:dyDescent="0.2">
      <c r="A135" s="61" t="s">
        <v>392</v>
      </c>
      <c r="B135" s="96" t="s">
        <v>188</v>
      </c>
      <c r="C135" s="94" t="s">
        <v>262</v>
      </c>
      <c r="D135" s="96"/>
      <c r="E135" s="96"/>
      <c r="F135" s="131">
        <f>F136+F145</f>
        <v>1276.5548000000001</v>
      </c>
      <c r="G135" s="131">
        <f>G136+G145</f>
        <v>1254.8306000000002</v>
      </c>
      <c r="H135" s="284"/>
      <c r="I135" s="284"/>
      <c r="J135" s="284"/>
      <c r="K135" s="284"/>
      <c r="L135" s="284"/>
      <c r="M135" s="284"/>
    </row>
    <row r="136" spans="1:13" s="285" customFormat="1" ht="12.75" customHeight="1" x14ac:dyDescent="0.2">
      <c r="A136" s="69" t="s">
        <v>393</v>
      </c>
      <c r="B136" s="68" t="s">
        <v>188</v>
      </c>
      <c r="C136" s="67" t="s">
        <v>262</v>
      </c>
      <c r="D136" s="68" t="s">
        <v>394</v>
      </c>
      <c r="E136" s="96"/>
      <c r="F136" s="131">
        <f>F137+F141</f>
        <v>987.35480000000007</v>
      </c>
      <c r="G136" s="131">
        <f>G137+G141</f>
        <v>967.43060000000014</v>
      </c>
      <c r="H136" s="284"/>
      <c r="I136" s="284"/>
      <c r="J136" s="284"/>
      <c r="K136" s="284"/>
      <c r="L136" s="284"/>
      <c r="M136" s="284"/>
    </row>
    <row r="137" spans="1:13" s="59" customFormat="1" ht="45" x14ac:dyDescent="0.2">
      <c r="A137" s="66" t="s">
        <v>139</v>
      </c>
      <c r="B137" s="68" t="s">
        <v>188</v>
      </c>
      <c r="C137" s="67" t="s">
        <v>262</v>
      </c>
      <c r="D137" s="68" t="s">
        <v>394</v>
      </c>
      <c r="E137" s="68" t="s">
        <v>140</v>
      </c>
      <c r="F137" s="131">
        <f>F138</f>
        <v>898.15480000000002</v>
      </c>
      <c r="G137" s="131">
        <f>G138</f>
        <v>880.03060000000016</v>
      </c>
      <c r="H137" s="89"/>
      <c r="I137" s="89"/>
      <c r="J137" s="89"/>
      <c r="K137" s="89"/>
      <c r="L137" s="89"/>
      <c r="M137" s="89"/>
    </row>
    <row r="138" spans="1:13" s="59" customFormat="1" ht="12.75" customHeight="1" x14ac:dyDescent="0.2">
      <c r="A138" s="66" t="s">
        <v>141</v>
      </c>
      <c r="B138" s="68" t="s">
        <v>188</v>
      </c>
      <c r="C138" s="67" t="s">
        <v>262</v>
      </c>
      <c r="D138" s="68" t="s">
        <v>394</v>
      </c>
      <c r="E138" s="68">
        <v>110</v>
      </c>
      <c r="F138" s="131">
        <f>F139+F140</f>
        <v>898.15480000000002</v>
      </c>
      <c r="G138" s="131">
        <f>G139+G140</f>
        <v>880.03060000000016</v>
      </c>
      <c r="H138" s="89"/>
      <c r="I138" s="89"/>
      <c r="J138" s="89"/>
      <c r="K138" s="89"/>
      <c r="L138" s="89"/>
      <c r="M138" s="89"/>
    </row>
    <row r="139" spans="1:13" s="59" customFormat="1" ht="9.75" customHeight="1" x14ac:dyDescent="0.2">
      <c r="A139" s="66" t="s">
        <v>142</v>
      </c>
      <c r="B139" s="68" t="s">
        <v>188</v>
      </c>
      <c r="C139" s="67" t="s">
        <v>262</v>
      </c>
      <c r="D139" s="68" t="s">
        <v>394</v>
      </c>
      <c r="E139" s="68">
        <v>111</v>
      </c>
      <c r="F139" s="131">
        <f>'ПР 8 ведом'!G483</f>
        <v>689.87279999999998</v>
      </c>
      <c r="G139" s="131">
        <f>'ПР 8 ведом'!H483</f>
        <v>675.9516000000001</v>
      </c>
      <c r="H139" s="89"/>
      <c r="I139" s="89"/>
      <c r="J139" s="89"/>
      <c r="K139" s="89"/>
      <c r="L139" s="89"/>
      <c r="M139" s="89"/>
    </row>
    <row r="140" spans="1:13" s="59" customFormat="1" ht="31.5" customHeight="1" x14ac:dyDescent="0.2">
      <c r="A140" s="69" t="s">
        <v>143</v>
      </c>
      <c r="B140" s="68" t="s">
        <v>188</v>
      </c>
      <c r="C140" s="67" t="s">
        <v>262</v>
      </c>
      <c r="D140" s="68" t="s">
        <v>394</v>
      </c>
      <c r="E140" s="68">
        <v>119</v>
      </c>
      <c r="F140" s="131">
        <f>'ПР 8 ведом'!G484</f>
        <v>208.28200000000001</v>
      </c>
      <c r="G140" s="131">
        <f>'ПР 8 ведом'!H484</f>
        <v>204.07900000000004</v>
      </c>
      <c r="H140" s="89"/>
      <c r="I140" s="89"/>
      <c r="J140" s="89"/>
      <c r="K140" s="89"/>
      <c r="L140" s="89"/>
      <c r="M140" s="89"/>
    </row>
    <row r="141" spans="1:13" s="59" customFormat="1" ht="31.5" customHeight="1" x14ac:dyDescent="0.2">
      <c r="A141" s="66" t="s">
        <v>149</v>
      </c>
      <c r="B141" s="68" t="s">
        <v>188</v>
      </c>
      <c r="C141" s="67" t="s">
        <v>262</v>
      </c>
      <c r="D141" s="68" t="s">
        <v>394</v>
      </c>
      <c r="E141" s="68">
        <v>200</v>
      </c>
      <c r="F141" s="131">
        <f>F142</f>
        <v>89.2</v>
      </c>
      <c r="G141" s="131">
        <f>G142</f>
        <v>87.4</v>
      </c>
      <c r="H141" s="89"/>
      <c r="I141" s="89"/>
      <c r="J141" s="89"/>
      <c r="K141" s="89"/>
      <c r="L141" s="89"/>
      <c r="M141" s="89"/>
    </row>
    <row r="142" spans="1:13" s="59" customFormat="1" ht="31.5" customHeight="1" x14ac:dyDescent="0.2">
      <c r="A142" s="66" t="s">
        <v>151</v>
      </c>
      <c r="B142" s="68" t="s">
        <v>188</v>
      </c>
      <c r="C142" s="67" t="s">
        <v>262</v>
      </c>
      <c r="D142" s="68" t="s">
        <v>394</v>
      </c>
      <c r="E142" s="68">
        <v>240</v>
      </c>
      <c r="F142" s="131">
        <f>F143+F144</f>
        <v>89.2</v>
      </c>
      <c r="G142" s="131">
        <f>G143+G144</f>
        <v>87.4</v>
      </c>
      <c r="H142" s="89"/>
      <c r="I142" s="89"/>
      <c r="J142" s="89"/>
      <c r="K142" s="89"/>
      <c r="L142" s="89"/>
      <c r="M142" s="89"/>
    </row>
    <row r="143" spans="1:13" s="59" customFormat="1" ht="31.5" customHeight="1" x14ac:dyDescent="0.2">
      <c r="A143" s="70" t="s">
        <v>171</v>
      </c>
      <c r="B143" s="68" t="s">
        <v>188</v>
      </c>
      <c r="C143" s="67" t="s">
        <v>262</v>
      </c>
      <c r="D143" s="68" t="s">
        <v>394</v>
      </c>
      <c r="E143" s="68">
        <v>242</v>
      </c>
      <c r="F143" s="131">
        <f>'ПР 8 ведом'!G487</f>
        <v>72.073599999999999</v>
      </c>
      <c r="G143" s="131">
        <f>'ПР 8 ведом'!H487</f>
        <v>70.619200000000006</v>
      </c>
      <c r="H143" s="89"/>
      <c r="I143" s="89"/>
      <c r="J143" s="89"/>
      <c r="K143" s="89"/>
      <c r="L143" s="89"/>
      <c r="M143" s="89"/>
    </row>
    <row r="144" spans="1:13" s="59" customFormat="1" ht="31.5" customHeight="1" x14ac:dyDescent="0.2">
      <c r="A144" s="70" t="s">
        <v>153</v>
      </c>
      <c r="B144" s="68" t="s">
        <v>188</v>
      </c>
      <c r="C144" s="67" t="s">
        <v>262</v>
      </c>
      <c r="D144" s="68" t="s">
        <v>394</v>
      </c>
      <c r="E144" s="68">
        <v>244</v>
      </c>
      <c r="F144" s="131">
        <f>'ПР 8 ведом'!G488</f>
        <v>17.1264</v>
      </c>
      <c r="G144" s="131">
        <f>'ПР 8 ведом'!H488</f>
        <v>16.780800000000003</v>
      </c>
      <c r="H144" s="89"/>
      <c r="I144" s="89"/>
      <c r="J144" s="89"/>
      <c r="K144" s="89"/>
      <c r="L144" s="89"/>
      <c r="M144" s="89"/>
    </row>
    <row r="145" spans="1:13" s="59" customFormat="1" ht="10.5" customHeight="1" x14ac:dyDescent="0.2">
      <c r="A145" s="114" t="s">
        <v>395</v>
      </c>
      <c r="B145" s="84" t="s">
        <v>188</v>
      </c>
      <c r="C145" s="87" t="s">
        <v>262</v>
      </c>
      <c r="D145" s="84" t="s">
        <v>396</v>
      </c>
      <c r="E145" s="84"/>
      <c r="F145" s="131">
        <f t="shared" ref="F145:G148" si="7">F146</f>
        <v>289.2</v>
      </c>
      <c r="G145" s="131">
        <f t="shared" si="7"/>
        <v>287.39999999999998</v>
      </c>
      <c r="H145" s="89"/>
      <c r="I145" s="89"/>
      <c r="J145" s="89"/>
      <c r="K145" s="89"/>
      <c r="L145" s="89"/>
      <c r="M145" s="89"/>
    </row>
    <row r="146" spans="1:13" s="59" customFormat="1" ht="10.5" customHeight="1" x14ac:dyDescent="0.2">
      <c r="A146" s="114" t="s">
        <v>397</v>
      </c>
      <c r="B146" s="84" t="s">
        <v>188</v>
      </c>
      <c r="C146" s="87" t="s">
        <v>262</v>
      </c>
      <c r="D146" s="84" t="s">
        <v>398</v>
      </c>
      <c r="E146" s="84"/>
      <c r="F146" s="131">
        <f t="shared" si="7"/>
        <v>289.2</v>
      </c>
      <c r="G146" s="131">
        <f t="shared" si="7"/>
        <v>287.39999999999998</v>
      </c>
      <c r="H146" s="89"/>
      <c r="I146" s="89"/>
      <c r="J146" s="89"/>
      <c r="K146" s="89"/>
      <c r="L146" s="89"/>
      <c r="M146" s="89"/>
    </row>
    <row r="147" spans="1:13" s="59" customFormat="1" ht="10.5" customHeight="1" x14ac:dyDescent="0.2">
      <c r="A147" s="83" t="s">
        <v>650</v>
      </c>
      <c r="B147" s="84" t="s">
        <v>188</v>
      </c>
      <c r="C147" s="87" t="s">
        <v>262</v>
      </c>
      <c r="D147" s="84" t="s">
        <v>398</v>
      </c>
      <c r="E147" s="84">
        <v>200</v>
      </c>
      <c r="F147" s="131">
        <f t="shared" si="7"/>
        <v>289.2</v>
      </c>
      <c r="G147" s="131">
        <f t="shared" si="7"/>
        <v>287.39999999999998</v>
      </c>
      <c r="H147" s="89"/>
      <c r="I147" s="89"/>
      <c r="J147" s="89"/>
      <c r="K147" s="89"/>
      <c r="L147" s="89"/>
      <c r="M147" s="89"/>
    </row>
    <row r="148" spans="1:13" s="59" customFormat="1" ht="10.5" customHeight="1" x14ac:dyDescent="0.2">
      <c r="A148" s="83" t="s">
        <v>151</v>
      </c>
      <c r="B148" s="84" t="s">
        <v>188</v>
      </c>
      <c r="C148" s="87" t="s">
        <v>262</v>
      </c>
      <c r="D148" s="84" t="s">
        <v>398</v>
      </c>
      <c r="E148" s="84">
        <v>240</v>
      </c>
      <c r="F148" s="131">
        <f t="shared" si="7"/>
        <v>289.2</v>
      </c>
      <c r="G148" s="131">
        <f t="shared" si="7"/>
        <v>287.39999999999998</v>
      </c>
      <c r="H148" s="89"/>
      <c r="I148" s="89"/>
      <c r="J148" s="89"/>
      <c r="K148" s="89"/>
      <c r="L148" s="89"/>
      <c r="M148" s="89"/>
    </row>
    <row r="149" spans="1:13" s="59" customFormat="1" ht="10.5" customHeight="1" x14ac:dyDescent="0.2">
      <c r="A149" s="115" t="s">
        <v>153</v>
      </c>
      <c r="B149" s="84" t="s">
        <v>188</v>
      </c>
      <c r="C149" s="87" t="s">
        <v>262</v>
      </c>
      <c r="D149" s="84" t="s">
        <v>398</v>
      </c>
      <c r="E149" s="84">
        <v>244</v>
      </c>
      <c r="F149" s="131">
        <f>'ПР 8 ведом'!G493</f>
        <v>289.2</v>
      </c>
      <c r="G149" s="131">
        <f>'ПР 8 ведом'!H493</f>
        <v>287.39999999999998</v>
      </c>
      <c r="H149" s="89"/>
      <c r="I149" s="89"/>
      <c r="J149" s="89"/>
      <c r="K149" s="89"/>
      <c r="L149" s="89"/>
      <c r="M149" s="89"/>
    </row>
    <row r="150" spans="1:13" s="52" customFormat="1" ht="21" x14ac:dyDescent="0.2">
      <c r="A150" s="61" t="s">
        <v>399</v>
      </c>
      <c r="B150" s="96" t="s">
        <v>188</v>
      </c>
      <c r="C150" s="94" t="s">
        <v>353</v>
      </c>
      <c r="D150" s="96" t="s">
        <v>183</v>
      </c>
      <c r="E150" s="96" t="s">
        <v>184</v>
      </c>
      <c r="F150" s="138">
        <f>F151</f>
        <v>115.96000000000001</v>
      </c>
      <c r="G150" s="138">
        <f>G151</f>
        <v>113.62</v>
      </c>
      <c r="H150" s="90"/>
      <c r="I150" s="90"/>
      <c r="J150" s="90"/>
      <c r="K150" s="90"/>
      <c r="L150" s="90"/>
      <c r="M150" s="90"/>
    </row>
    <row r="151" spans="1:13" s="52" customFormat="1" ht="32.25" customHeight="1" x14ac:dyDescent="0.2">
      <c r="A151" s="61" t="s">
        <v>400</v>
      </c>
      <c r="B151" s="96" t="s">
        <v>188</v>
      </c>
      <c r="C151" s="94" t="s">
        <v>353</v>
      </c>
      <c r="D151" s="96" t="s">
        <v>401</v>
      </c>
      <c r="E151" s="96" t="s">
        <v>184</v>
      </c>
      <c r="F151" s="131">
        <f>F152+F156</f>
        <v>115.96000000000001</v>
      </c>
      <c r="G151" s="131">
        <f>G152+G156</f>
        <v>113.62</v>
      </c>
      <c r="H151" s="90"/>
      <c r="I151" s="90"/>
      <c r="J151" s="90"/>
      <c r="K151" s="90"/>
      <c r="L151" s="90"/>
      <c r="M151" s="90"/>
    </row>
    <row r="152" spans="1:13" s="52" customFormat="1" ht="29.25" customHeight="1" x14ac:dyDescent="0.2">
      <c r="A152" s="83" t="s">
        <v>402</v>
      </c>
      <c r="B152" s="84" t="s">
        <v>188</v>
      </c>
      <c r="C152" s="84" t="s">
        <v>353</v>
      </c>
      <c r="D152" s="68" t="s">
        <v>403</v>
      </c>
      <c r="E152" s="84" t="s">
        <v>184</v>
      </c>
      <c r="F152" s="135">
        <f t="shared" ref="F152:G154" si="8">+F153</f>
        <v>89.2</v>
      </c>
      <c r="G152" s="135">
        <f t="shared" si="8"/>
        <v>87.4</v>
      </c>
      <c r="H152" s="90"/>
      <c r="I152" s="90"/>
      <c r="J152" s="90"/>
      <c r="K152" s="90"/>
      <c r="L152" s="90"/>
      <c r="M152" s="90"/>
    </row>
    <row r="153" spans="1:13" s="52" customFormat="1" ht="21.75" customHeight="1" x14ac:dyDescent="0.2">
      <c r="A153" s="66" t="s">
        <v>149</v>
      </c>
      <c r="B153" s="84" t="s">
        <v>188</v>
      </c>
      <c r="C153" s="84" t="s">
        <v>353</v>
      </c>
      <c r="D153" s="68" t="s">
        <v>403</v>
      </c>
      <c r="E153" s="84" t="s">
        <v>150</v>
      </c>
      <c r="F153" s="135">
        <f t="shared" si="8"/>
        <v>89.2</v>
      </c>
      <c r="G153" s="135">
        <f t="shared" si="8"/>
        <v>87.4</v>
      </c>
      <c r="H153" s="90"/>
      <c r="I153" s="90"/>
      <c r="J153" s="90"/>
      <c r="K153" s="90"/>
      <c r="L153" s="90"/>
      <c r="M153" s="90"/>
    </row>
    <row r="154" spans="1:13" s="52" customFormat="1" ht="21.75" customHeight="1" x14ac:dyDescent="0.2">
      <c r="A154" s="66" t="s">
        <v>151</v>
      </c>
      <c r="B154" s="84" t="s">
        <v>188</v>
      </c>
      <c r="C154" s="84" t="s">
        <v>353</v>
      </c>
      <c r="D154" s="68" t="s">
        <v>403</v>
      </c>
      <c r="E154" s="84" t="s">
        <v>152</v>
      </c>
      <c r="F154" s="135">
        <f t="shared" si="8"/>
        <v>89.2</v>
      </c>
      <c r="G154" s="135">
        <f t="shared" si="8"/>
        <v>87.4</v>
      </c>
      <c r="H154" s="90"/>
      <c r="I154" s="90"/>
      <c r="J154" s="90"/>
      <c r="K154" s="90"/>
      <c r="L154" s="90"/>
      <c r="M154" s="90"/>
    </row>
    <row r="155" spans="1:13" s="52" customFormat="1" ht="21.75" customHeight="1" x14ac:dyDescent="0.2">
      <c r="A155" s="70" t="s">
        <v>153</v>
      </c>
      <c r="B155" s="84" t="s">
        <v>188</v>
      </c>
      <c r="C155" s="84" t="s">
        <v>353</v>
      </c>
      <c r="D155" s="68" t="s">
        <v>403</v>
      </c>
      <c r="E155" s="84" t="s">
        <v>154</v>
      </c>
      <c r="F155" s="135">
        <f>'ПР 8 ведом'!G499</f>
        <v>89.2</v>
      </c>
      <c r="G155" s="135">
        <f>'ПР 8 ведом'!H499</f>
        <v>87.4</v>
      </c>
      <c r="H155" s="90"/>
      <c r="I155" s="90"/>
      <c r="J155" s="90"/>
      <c r="K155" s="90"/>
      <c r="L155" s="90"/>
      <c r="M155" s="90"/>
    </row>
    <row r="156" spans="1:13" s="52" customFormat="1" ht="21.75" customHeight="1" x14ac:dyDescent="0.2">
      <c r="A156" s="83" t="s">
        <v>404</v>
      </c>
      <c r="B156" s="84" t="s">
        <v>188</v>
      </c>
      <c r="C156" s="84" t="s">
        <v>353</v>
      </c>
      <c r="D156" s="68" t="s">
        <v>405</v>
      </c>
      <c r="E156" s="84" t="s">
        <v>184</v>
      </c>
      <c r="F156" s="135">
        <f t="shared" ref="F156:G158" si="9">+F157</f>
        <v>26.76</v>
      </c>
      <c r="G156" s="135">
        <f t="shared" si="9"/>
        <v>26.220000000000002</v>
      </c>
      <c r="H156" s="90"/>
      <c r="I156" s="90"/>
      <c r="J156" s="90"/>
      <c r="K156" s="90"/>
      <c r="L156" s="90"/>
      <c r="M156" s="90"/>
    </row>
    <row r="157" spans="1:13" s="52" customFormat="1" ht="21" customHeight="1" x14ac:dyDescent="0.2">
      <c r="A157" s="66" t="s">
        <v>149</v>
      </c>
      <c r="B157" s="84" t="s">
        <v>188</v>
      </c>
      <c r="C157" s="84" t="s">
        <v>353</v>
      </c>
      <c r="D157" s="68" t="s">
        <v>405</v>
      </c>
      <c r="E157" s="84" t="s">
        <v>150</v>
      </c>
      <c r="F157" s="135">
        <f t="shared" si="9"/>
        <v>26.76</v>
      </c>
      <c r="G157" s="135">
        <f t="shared" si="9"/>
        <v>26.220000000000002</v>
      </c>
      <c r="H157" s="90"/>
      <c r="I157" s="90"/>
      <c r="J157" s="90"/>
      <c r="K157" s="90"/>
      <c r="L157" s="90"/>
      <c r="M157" s="90"/>
    </row>
    <row r="158" spans="1:13" s="52" customFormat="1" ht="21" customHeight="1" x14ac:dyDescent="0.2">
      <c r="A158" s="66" t="s">
        <v>151</v>
      </c>
      <c r="B158" s="84" t="s">
        <v>188</v>
      </c>
      <c r="C158" s="84" t="s">
        <v>353</v>
      </c>
      <c r="D158" s="68" t="s">
        <v>405</v>
      </c>
      <c r="E158" s="84" t="s">
        <v>152</v>
      </c>
      <c r="F158" s="135">
        <f t="shared" si="9"/>
        <v>26.76</v>
      </c>
      <c r="G158" s="135">
        <f t="shared" si="9"/>
        <v>26.220000000000002</v>
      </c>
      <c r="H158" s="90"/>
      <c r="I158" s="90"/>
      <c r="J158" s="90"/>
      <c r="K158" s="90"/>
      <c r="L158" s="90"/>
      <c r="M158" s="90"/>
    </row>
    <row r="159" spans="1:13" s="52" customFormat="1" ht="21" customHeight="1" x14ac:dyDescent="0.2">
      <c r="A159" s="70" t="s">
        <v>153</v>
      </c>
      <c r="B159" s="84" t="s">
        <v>188</v>
      </c>
      <c r="C159" s="84" t="s">
        <v>353</v>
      </c>
      <c r="D159" s="68" t="s">
        <v>405</v>
      </c>
      <c r="E159" s="84" t="s">
        <v>154</v>
      </c>
      <c r="F159" s="135">
        <f>'ПР 8 ведом'!G503</f>
        <v>26.76</v>
      </c>
      <c r="G159" s="135">
        <f>'ПР 8 ведом'!H503</f>
        <v>26.220000000000002</v>
      </c>
      <c r="H159" s="90"/>
      <c r="I159" s="90"/>
      <c r="J159" s="90"/>
      <c r="K159" s="90"/>
      <c r="L159" s="90"/>
      <c r="M159" s="90"/>
    </row>
    <row r="160" spans="1:13" s="283" customFormat="1" x14ac:dyDescent="0.2">
      <c r="A160" s="341" t="s">
        <v>284</v>
      </c>
      <c r="B160" s="328" t="s">
        <v>160</v>
      </c>
      <c r="C160" s="337" t="s">
        <v>182</v>
      </c>
      <c r="D160" s="328" t="s">
        <v>183</v>
      </c>
      <c r="E160" s="328" t="s">
        <v>184</v>
      </c>
      <c r="F160" s="338">
        <f>F161+F185+F179</f>
        <v>7722.71</v>
      </c>
      <c r="G160" s="338">
        <f>G161+G185+G179</f>
        <v>7875.4156000000003</v>
      </c>
      <c r="H160" s="157"/>
      <c r="I160" s="282"/>
      <c r="J160" s="282"/>
      <c r="K160" s="282"/>
      <c r="L160" s="282"/>
      <c r="M160" s="282"/>
    </row>
    <row r="161" spans="1:13" s="283" customFormat="1" x14ac:dyDescent="0.2">
      <c r="A161" s="61" t="s">
        <v>285</v>
      </c>
      <c r="B161" s="96" t="s">
        <v>160</v>
      </c>
      <c r="C161" s="94" t="s">
        <v>286</v>
      </c>
      <c r="D161" s="96" t="s">
        <v>183</v>
      </c>
      <c r="E161" s="96" t="s">
        <v>184</v>
      </c>
      <c r="F161" s="138">
        <f t="shared" ref="F161:G163" si="10">F162</f>
        <v>2045.3680000000002</v>
      </c>
      <c r="G161" s="138">
        <f t="shared" si="10"/>
        <v>1983.9016000000004</v>
      </c>
      <c r="H161" s="282"/>
      <c r="I161" s="282"/>
      <c r="J161" s="282"/>
      <c r="K161" s="282"/>
      <c r="L161" s="282"/>
      <c r="M161" s="282"/>
    </row>
    <row r="162" spans="1:13" s="283" customFormat="1" ht="38.25" customHeight="1" x14ac:dyDescent="0.2">
      <c r="A162" s="61" t="s">
        <v>298</v>
      </c>
      <c r="B162" s="96" t="s">
        <v>160</v>
      </c>
      <c r="C162" s="94" t="s">
        <v>286</v>
      </c>
      <c r="D162" s="96" t="s">
        <v>288</v>
      </c>
      <c r="E162" s="68"/>
      <c r="F162" s="138">
        <f t="shared" si="10"/>
        <v>2045.3680000000002</v>
      </c>
      <c r="G162" s="138">
        <f t="shared" si="10"/>
        <v>1983.9016000000004</v>
      </c>
      <c r="H162" s="287"/>
      <c r="I162" s="282"/>
      <c r="J162" s="282"/>
      <c r="K162" s="282"/>
      <c r="L162" s="282"/>
      <c r="M162" s="282"/>
    </row>
    <row r="163" spans="1:13" s="283" customFormat="1" ht="24" customHeight="1" x14ac:dyDescent="0.2">
      <c r="A163" s="66" t="s">
        <v>226</v>
      </c>
      <c r="B163" s="68" t="s">
        <v>160</v>
      </c>
      <c r="C163" s="67" t="s">
        <v>286</v>
      </c>
      <c r="D163" s="68" t="s">
        <v>289</v>
      </c>
      <c r="E163" s="68" t="s">
        <v>184</v>
      </c>
      <c r="F163" s="131">
        <f t="shared" si="10"/>
        <v>2045.3680000000002</v>
      </c>
      <c r="G163" s="131">
        <f t="shared" si="10"/>
        <v>1983.9016000000004</v>
      </c>
      <c r="H163" s="282"/>
      <c r="I163" s="282"/>
      <c r="J163" s="282"/>
      <c r="K163" s="282"/>
      <c r="L163" s="282"/>
      <c r="M163" s="282"/>
    </row>
    <row r="164" spans="1:13" s="52" customFormat="1" ht="25.5" customHeight="1" x14ac:dyDescent="0.2">
      <c r="A164" s="66" t="s">
        <v>290</v>
      </c>
      <c r="B164" s="68" t="s">
        <v>160</v>
      </c>
      <c r="C164" s="67" t="s">
        <v>286</v>
      </c>
      <c r="D164" s="68" t="s">
        <v>291</v>
      </c>
      <c r="E164" s="68" t="s">
        <v>184</v>
      </c>
      <c r="F164" s="131">
        <f>F165+F169+F171+F175</f>
        <v>2045.3680000000002</v>
      </c>
      <c r="G164" s="131">
        <f>G165+G169+G171+G175</f>
        <v>1983.9016000000004</v>
      </c>
      <c r="H164" s="90"/>
      <c r="I164" s="90"/>
      <c r="J164" s="90"/>
      <c r="K164" s="90"/>
      <c r="L164" s="90"/>
      <c r="M164" s="90"/>
    </row>
    <row r="165" spans="1:13" s="52" customFormat="1" ht="45" x14ac:dyDescent="0.2">
      <c r="A165" s="66" t="s">
        <v>139</v>
      </c>
      <c r="B165" s="68" t="s">
        <v>160</v>
      </c>
      <c r="C165" s="67" t="s">
        <v>286</v>
      </c>
      <c r="D165" s="68" t="s">
        <v>292</v>
      </c>
      <c r="E165" s="68" t="s">
        <v>140</v>
      </c>
      <c r="F165" s="131">
        <f>F166</f>
        <v>1737.17</v>
      </c>
      <c r="G165" s="131">
        <f>G166</f>
        <v>1702.1150000000002</v>
      </c>
      <c r="H165" s="90"/>
      <c r="I165" s="90"/>
      <c r="J165" s="90"/>
      <c r="K165" s="90"/>
      <c r="L165" s="90"/>
      <c r="M165" s="90"/>
    </row>
    <row r="166" spans="1:13" s="52" customFormat="1" ht="21" customHeight="1" x14ac:dyDescent="0.2">
      <c r="A166" s="66" t="s">
        <v>168</v>
      </c>
      <c r="B166" s="68" t="s">
        <v>160</v>
      </c>
      <c r="C166" s="67" t="s">
        <v>286</v>
      </c>
      <c r="D166" s="68" t="s">
        <v>292</v>
      </c>
      <c r="E166" s="68" t="s">
        <v>232</v>
      </c>
      <c r="F166" s="131">
        <f>F167+F168</f>
        <v>1737.17</v>
      </c>
      <c r="G166" s="131">
        <f>G167+G168</f>
        <v>1702.1150000000002</v>
      </c>
      <c r="H166" s="90"/>
      <c r="I166" s="90"/>
      <c r="J166" s="90"/>
      <c r="K166" s="90"/>
      <c r="L166" s="90"/>
      <c r="M166" s="90"/>
    </row>
    <row r="167" spans="1:13" s="52" customFormat="1" ht="12" customHeight="1" x14ac:dyDescent="0.2">
      <c r="A167" s="69" t="s">
        <v>169</v>
      </c>
      <c r="B167" s="68" t="s">
        <v>160</v>
      </c>
      <c r="C167" s="67" t="s">
        <v>286</v>
      </c>
      <c r="D167" s="68" t="s">
        <v>292</v>
      </c>
      <c r="E167" s="68">
        <v>121</v>
      </c>
      <c r="F167" s="131">
        <f>'ПР 8 ведом'!G309</f>
        <v>1334.2536</v>
      </c>
      <c r="G167" s="131">
        <f>'ПР 8 ведом'!H309</f>
        <v>1307.3292000000001</v>
      </c>
      <c r="H167" s="90"/>
      <c r="I167" s="90"/>
      <c r="J167" s="90"/>
      <c r="K167" s="90"/>
      <c r="L167" s="90"/>
      <c r="M167" s="90"/>
    </row>
    <row r="168" spans="1:13" s="52" customFormat="1" ht="36" customHeight="1" x14ac:dyDescent="0.2">
      <c r="A168" s="69" t="s">
        <v>170</v>
      </c>
      <c r="B168" s="68" t="s">
        <v>160</v>
      </c>
      <c r="C168" s="67" t="s">
        <v>286</v>
      </c>
      <c r="D168" s="68" t="s">
        <v>292</v>
      </c>
      <c r="E168" s="68">
        <v>129</v>
      </c>
      <c r="F168" s="131">
        <f>'ПР 8 ведом'!G310</f>
        <v>402.91640000000001</v>
      </c>
      <c r="G168" s="131">
        <f>'ПР 8 ведом'!H310</f>
        <v>394.78580000000005</v>
      </c>
      <c r="H168" s="90"/>
      <c r="I168" s="90"/>
      <c r="J168" s="90"/>
      <c r="K168" s="90"/>
      <c r="L168" s="90"/>
      <c r="M168" s="90"/>
    </row>
    <row r="169" spans="1:13" s="52" customFormat="1" ht="36" customHeight="1" x14ac:dyDescent="0.2">
      <c r="A169" s="83" t="s">
        <v>168</v>
      </c>
      <c r="B169" s="84" t="s">
        <v>160</v>
      </c>
      <c r="C169" s="87" t="s">
        <v>286</v>
      </c>
      <c r="D169" s="84" t="s">
        <v>294</v>
      </c>
      <c r="E169" s="68">
        <v>120</v>
      </c>
      <c r="F169" s="131">
        <f>F170</f>
        <v>190.9</v>
      </c>
      <c r="G169" s="131">
        <f>G170</f>
        <v>166.84660000000002</v>
      </c>
      <c r="H169" s="90"/>
      <c r="I169" s="90"/>
      <c r="J169" s="90"/>
      <c r="K169" s="90"/>
      <c r="L169" s="90"/>
      <c r="M169" s="90"/>
    </row>
    <row r="170" spans="1:13" s="52" customFormat="1" ht="36" customHeight="1" x14ac:dyDescent="0.2">
      <c r="A170" s="69" t="s">
        <v>293</v>
      </c>
      <c r="B170" s="84" t="s">
        <v>160</v>
      </c>
      <c r="C170" s="87" t="s">
        <v>286</v>
      </c>
      <c r="D170" s="84" t="s">
        <v>294</v>
      </c>
      <c r="E170" s="68">
        <v>122</v>
      </c>
      <c r="F170" s="131">
        <f>'ПР 8 ведом'!G313</f>
        <v>190.9</v>
      </c>
      <c r="G170" s="131">
        <f>'ПР 8 ведом'!H313</f>
        <v>166.84660000000002</v>
      </c>
      <c r="H170" s="90"/>
      <c r="I170" s="90"/>
      <c r="J170" s="90"/>
      <c r="K170" s="90"/>
      <c r="L170" s="90"/>
      <c r="M170" s="90"/>
    </row>
    <row r="171" spans="1:13" s="52" customFormat="1" ht="21" customHeight="1" x14ac:dyDescent="0.2">
      <c r="A171" s="66" t="s">
        <v>149</v>
      </c>
      <c r="B171" s="68" t="s">
        <v>160</v>
      </c>
      <c r="C171" s="67" t="s">
        <v>286</v>
      </c>
      <c r="D171" s="68" t="s">
        <v>294</v>
      </c>
      <c r="E171" s="68" t="s">
        <v>150</v>
      </c>
      <c r="F171" s="131">
        <f>F172</f>
        <v>115.96000000000001</v>
      </c>
      <c r="G171" s="131">
        <f>G172</f>
        <v>113.62</v>
      </c>
      <c r="H171" s="90"/>
      <c r="I171" s="90"/>
      <c r="J171" s="90"/>
      <c r="K171" s="90"/>
      <c r="L171" s="90"/>
      <c r="M171" s="90"/>
    </row>
    <row r="172" spans="1:13" s="52" customFormat="1" ht="21" customHeight="1" x14ac:dyDescent="0.2">
      <c r="A172" s="66" t="s">
        <v>151</v>
      </c>
      <c r="B172" s="68" t="s">
        <v>160</v>
      </c>
      <c r="C172" s="67" t="s">
        <v>286</v>
      </c>
      <c r="D172" s="68" t="s">
        <v>294</v>
      </c>
      <c r="E172" s="68" t="s">
        <v>152</v>
      </c>
      <c r="F172" s="131">
        <f>F174+F173</f>
        <v>115.96000000000001</v>
      </c>
      <c r="G172" s="131">
        <f>G174+G173</f>
        <v>113.62</v>
      </c>
      <c r="H172" s="90"/>
      <c r="I172" s="90"/>
      <c r="J172" s="90"/>
      <c r="K172" s="90"/>
      <c r="L172" s="90"/>
      <c r="M172" s="90"/>
    </row>
    <row r="173" spans="1:13" s="52" customFormat="1" ht="21" customHeight="1" x14ac:dyDescent="0.2">
      <c r="A173" s="70" t="s">
        <v>171</v>
      </c>
      <c r="B173" s="68" t="s">
        <v>160</v>
      </c>
      <c r="C173" s="67" t="s">
        <v>286</v>
      </c>
      <c r="D173" s="68" t="s">
        <v>294</v>
      </c>
      <c r="E173" s="68">
        <v>242</v>
      </c>
      <c r="F173" s="131">
        <f>'ПР 8 ведом'!G316</f>
        <v>35.858400000000003</v>
      </c>
      <c r="G173" s="131">
        <f>'ПР 8 ведом'!H316</f>
        <v>35.134800000000006</v>
      </c>
      <c r="H173" s="90"/>
      <c r="I173" s="90"/>
      <c r="J173" s="90"/>
      <c r="K173" s="90"/>
      <c r="L173" s="90"/>
      <c r="M173" s="90"/>
    </row>
    <row r="174" spans="1:13" s="52" customFormat="1" ht="21" customHeight="1" x14ac:dyDescent="0.2">
      <c r="A174" s="70" t="s">
        <v>153</v>
      </c>
      <c r="B174" s="68" t="s">
        <v>160</v>
      </c>
      <c r="C174" s="67" t="s">
        <v>286</v>
      </c>
      <c r="D174" s="68" t="s">
        <v>294</v>
      </c>
      <c r="E174" s="68" t="s">
        <v>154</v>
      </c>
      <c r="F174" s="131">
        <f>'ПР 8 ведом'!G317</f>
        <v>80.101600000000005</v>
      </c>
      <c r="G174" s="131">
        <f>'ПР 8 ведом'!H317</f>
        <v>78.485200000000006</v>
      </c>
      <c r="H174" s="90"/>
      <c r="I174" s="90"/>
      <c r="J174" s="90"/>
      <c r="K174" s="90"/>
      <c r="L174" s="90"/>
      <c r="M174" s="90"/>
    </row>
    <row r="175" spans="1:13" s="52" customFormat="1" ht="21" customHeight="1" x14ac:dyDescent="0.2">
      <c r="A175" s="70" t="s">
        <v>172</v>
      </c>
      <c r="B175" s="68" t="s">
        <v>160</v>
      </c>
      <c r="C175" s="67" t="s">
        <v>286</v>
      </c>
      <c r="D175" s="68" t="s">
        <v>294</v>
      </c>
      <c r="E175" s="68" t="s">
        <v>235</v>
      </c>
      <c r="F175" s="131">
        <f>F176</f>
        <v>1.3380000000000001</v>
      </c>
      <c r="G175" s="131">
        <f>G176</f>
        <v>1.32</v>
      </c>
      <c r="H175" s="90"/>
      <c r="I175" s="90"/>
      <c r="J175" s="90"/>
      <c r="K175" s="90"/>
      <c r="L175" s="90"/>
      <c r="M175" s="90"/>
    </row>
    <row r="176" spans="1:13" s="52" customFormat="1" ht="21" customHeight="1" x14ac:dyDescent="0.2">
      <c r="A176" s="70" t="s">
        <v>173</v>
      </c>
      <c r="B176" s="68" t="s">
        <v>160</v>
      </c>
      <c r="C176" s="67" t="s">
        <v>286</v>
      </c>
      <c r="D176" s="68" t="s">
        <v>294</v>
      </c>
      <c r="E176" s="68" t="s">
        <v>174</v>
      </c>
      <c r="F176" s="131">
        <f>F177</f>
        <v>1.3380000000000001</v>
      </c>
      <c r="G176" s="131">
        <f>G177</f>
        <v>1.32</v>
      </c>
      <c r="H176" s="90"/>
      <c r="I176" s="90"/>
      <c r="J176" s="90"/>
      <c r="K176" s="90"/>
      <c r="L176" s="90"/>
      <c r="M176" s="90"/>
    </row>
    <row r="177" spans="1:13" s="52" customFormat="1" ht="16.5" customHeight="1" x14ac:dyDescent="0.2">
      <c r="A177" s="70" t="s">
        <v>236</v>
      </c>
      <c r="B177" s="68" t="s">
        <v>160</v>
      </c>
      <c r="C177" s="67" t="s">
        <v>286</v>
      </c>
      <c r="D177" s="68" t="s">
        <v>294</v>
      </c>
      <c r="E177" s="68" t="s">
        <v>258</v>
      </c>
      <c r="F177" s="131">
        <f>'ПР 8 ведом'!G320</f>
        <v>1.3380000000000001</v>
      </c>
      <c r="G177" s="131">
        <f>'ПР 8 ведом'!H320</f>
        <v>1.32</v>
      </c>
      <c r="H177" s="90"/>
      <c r="I177" s="90"/>
      <c r="J177" s="90"/>
      <c r="K177" s="90"/>
      <c r="L177" s="90"/>
      <c r="M177" s="90"/>
    </row>
    <row r="178" spans="1:13" s="52" customFormat="1" ht="16.5" customHeight="1" x14ac:dyDescent="0.2">
      <c r="A178" s="61" t="s">
        <v>284</v>
      </c>
      <c r="B178" s="96" t="s">
        <v>160</v>
      </c>
      <c r="C178" s="94"/>
      <c r="D178" s="68"/>
      <c r="E178" s="68"/>
      <c r="F178" s="138">
        <f>F179+F185</f>
        <v>5677.3420000000006</v>
      </c>
      <c r="G178" s="138">
        <f>G179+G185</f>
        <v>5891.5140000000001</v>
      </c>
      <c r="H178" s="90"/>
      <c r="I178" s="90"/>
      <c r="J178" s="90"/>
      <c r="K178" s="90"/>
      <c r="L178" s="90"/>
      <c r="M178" s="90"/>
    </row>
    <row r="179" spans="1:13" s="52" customFormat="1" x14ac:dyDescent="0.2">
      <c r="A179" s="212" t="s">
        <v>407</v>
      </c>
      <c r="B179" s="67" t="s">
        <v>160</v>
      </c>
      <c r="C179" s="67" t="s">
        <v>262</v>
      </c>
      <c r="D179" s="96"/>
      <c r="E179" s="96"/>
      <c r="F179" s="138">
        <f t="shared" ref="F179:G183" si="11">F180</f>
        <v>4284</v>
      </c>
      <c r="G179" s="138">
        <f t="shared" si="11"/>
        <v>4502</v>
      </c>
      <c r="H179" s="148"/>
      <c r="I179" s="90"/>
      <c r="J179" s="90"/>
      <c r="K179" s="90"/>
      <c r="L179" s="90"/>
      <c r="M179" s="90"/>
    </row>
    <row r="180" spans="1:13" s="52" customFormat="1" ht="42" x14ac:dyDescent="0.2">
      <c r="A180" s="61" t="s">
        <v>408</v>
      </c>
      <c r="B180" s="94" t="s">
        <v>160</v>
      </c>
      <c r="C180" s="94" t="s">
        <v>262</v>
      </c>
      <c r="D180" s="96" t="s">
        <v>409</v>
      </c>
      <c r="E180" s="96"/>
      <c r="F180" s="138">
        <f t="shared" si="11"/>
        <v>4284</v>
      </c>
      <c r="G180" s="138">
        <f t="shared" si="11"/>
        <v>4502</v>
      </c>
      <c r="H180" s="90"/>
      <c r="I180" s="90"/>
      <c r="J180" s="90"/>
      <c r="K180" s="90"/>
      <c r="L180" s="90"/>
      <c r="M180" s="90"/>
    </row>
    <row r="181" spans="1:13" s="52" customFormat="1" ht="135" x14ac:dyDescent="0.2">
      <c r="A181" s="71" t="s">
        <v>410</v>
      </c>
      <c r="B181" s="67" t="s">
        <v>160</v>
      </c>
      <c r="C181" s="67" t="s">
        <v>262</v>
      </c>
      <c r="D181" s="68" t="s">
        <v>409</v>
      </c>
      <c r="E181" s="68"/>
      <c r="F181" s="131">
        <f t="shared" si="11"/>
        <v>4284</v>
      </c>
      <c r="G181" s="131">
        <f t="shared" si="11"/>
        <v>4502</v>
      </c>
      <c r="H181" s="90"/>
      <c r="I181" s="90"/>
      <c r="J181" s="90"/>
      <c r="K181" s="90"/>
      <c r="L181" s="90"/>
      <c r="M181" s="90"/>
    </row>
    <row r="182" spans="1:13" s="52" customFormat="1" ht="26.25" customHeight="1" x14ac:dyDescent="0.2">
      <c r="A182" s="66" t="s">
        <v>149</v>
      </c>
      <c r="B182" s="67" t="s">
        <v>160</v>
      </c>
      <c r="C182" s="67" t="s">
        <v>262</v>
      </c>
      <c r="D182" s="68" t="s">
        <v>409</v>
      </c>
      <c r="E182" s="68" t="s">
        <v>150</v>
      </c>
      <c r="F182" s="131">
        <f t="shared" si="11"/>
        <v>4284</v>
      </c>
      <c r="G182" s="131">
        <f t="shared" si="11"/>
        <v>4502</v>
      </c>
      <c r="H182" s="90"/>
      <c r="I182" s="90"/>
      <c r="J182" s="90"/>
      <c r="K182" s="90"/>
      <c r="L182" s="90"/>
      <c r="M182" s="90"/>
    </row>
    <row r="183" spans="1:13" s="52" customFormat="1" ht="26.25" customHeight="1" x14ac:dyDescent="0.2">
      <c r="A183" s="66" t="s">
        <v>151</v>
      </c>
      <c r="B183" s="67" t="s">
        <v>160</v>
      </c>
      <c r="C183" s="67" t="s">
        <v>262</v>
      </c>
      <c r="D183" s="68" t="s">
        <v>409</v>
      </c>
      <c r="E183" s="68" t="s">
        <v>152</v>
      </c>
      <c r="F183" s="131">
        <f t="shared" si="11"/>
        <v>4284</v>
      </c>
      <c r="G183" s="131">
        <f t="shared" si="11"/>
        <v>4502</v>
      </c>
      <c r="H183" s="90"/>
      <c r="I183" s="90"/>
      <c r="J183" s="90"/>
      <c r="K183" s="90"/>
      <c r="L183" s="90"/>
      <c r="M183" s="90"/>
    </row>
    <row r="184" spans="1:13" s="52" customFormat="1" ht="26.25" customHeight="1" x14ac:dyDescent="0.2">
      <c r="A184" s="70" t="s">
        <v>153</v>
      </c>
      <c r="B184" s="67" t="s">
        <v>160</v>
      </c>
      <c r="C184" s="67" t="s">
        <v>262</v>
      </c>
      <c r="D184" s="68" t="s">
        <v>409</v>
      </c>
      <c r="E184" s="68" t="s">
        <v>154</v>
      </c>
      <c r="F184" s="131">
        <f>'ПР 8 ведом'!G510</f>
        <v>4284</v>
      </c>
      <c r="G184" s="131">
        <f>'ПР 8 ведом'!H510</f>
        <v>4502</v>
      </c>
      <c r="H184" s="90"/>
      <c r="I184" s="90"/>
      <c r="J184" s="90"/>
      <c r="K184" s="90"/>
      <c r="L184" s="90"/>
      <c r="M184" s="90"/>
    </row>
    <row r="185" spans="1:13" s="52" customFormat="1" x14ac:dyDescent="0.2">
      <c r="A185" s="61" t="s">
        <v>296</v>
      </c>
      <c r="B185" s="96" t="s">
        <v>160</v>
      </c>
      <c r="C185" s="94" t="s">
        <v>297</v>
      </c>
      <c r="D185" s="96"/>
      <c r="E185" s="96"/>
      <c r="F185" s="288">
        <f>F186+F217+F231+F236+F241</f>
        <v>1393.3420000000001</v>
      </c>
      <c r="G185" s="288">
        <f>G186+G217+G231+G236+G241</f>
        <v>1389.5140000000001</v>
      </c>
      <c r="H185" s="156"/>
      <c r="I185" s="90"/>
      <c r="J185" s="90"/>
      <c r="K185" s="90"/>
      <c r="L185" s="90"/>
      <c r="M185" s="90"/>
    </row>
    <row r="186" spans="1:13" s="52" customFormat="1" ht="21" customHeight="1" x14ac:dyDescent="0.2">
      <c r="A186" s="66" t="s">
        <v>646</v>
      </c>
      <c r="B186" s="67" t="s">
        <v>160</v>
      </c>
      <c r="C186" s="67" t="s">
        <v>297</v>
      </c>
      <c r="D186" s="68" t="s">
        <v>288</v>
      </c>
      <c r="E186" s="68" t="s">
        <v>184</v>
      </c>
      <c r="F186" s="290">
        <f>F187+F212+F208</f>
        <v>603.73</v>
      </c>
      <c r="G186" s="290">
        <f>G187+G212+G208</f>
        <v>611.80000000000007</v>
      </c>
      <c r="H186" s="90"/>
      <c r="I186" s="90"/>
      <c r="J186" s="90"/>
      <c r="K186" s="90"/>
      <c r="L186" s="90"/>
      <c r="M186" s="90"/>
    </row>
    <row r="187" spans="1:13" s="52" customFormat="1" ht="21" customHeight="1" x14ac:dyDescent="0.2">
      <c r="A187" s="66" t="s">
        <v>299</v>
      </c>
      <c r="B187" s="67" t="s">
        <v>160</v>
      </c>
      <c r="C187" s="67" t="s">
        <v>297</v>
      </c>
      <c r="D187" s="68" t="s">
        <v>300</v>
      </c>
      <c r="E187" s="68"/>
      <c r="F187" s="290">
        <f>F188+F192+F196+F200+F204</f>
        <v>371.81</v>
      </c>
      <c r="G187" s="290">
        <f>G188+G192+G196+G200+G204</f>
        <v>384.56000000000006</v>
      </c>
      <c r="H187" s="90"/>
      <c r="I187" s="90"/>
      <c r="J187" s="90"/>
      <c r="K187" s="90"/>
      <c r="L187" s="90"/>
      <c r="M187" s="90"/>
    </row>
    <row r="188" spans="1:13" s="52" customFormat="1" ht="21" customHeight="1" x14ac:dyDescent="0.2">
      <c r="A188" s="66" t="s">
        <v>301</v>
      </c>
      <c r="B188" s="67" t="s">
        <v>160</v>
      </c>
      <c r="C188" s="67" t="s">
        <v>297</v>
      </c>
      <c r="D188" s="68" t="s">
        <v>302</v>
      </c>
      <c r="E188" s="68"/>
      <c r="F188" s="290">
        <f t="shared" ref="F188:G190" si="12">F189</f>
        <v>50.69</v>
      </c>
      <c r="G188" s="290">
        <f t="shared" si="12"/>
        <v>69.920000000000016</v>
      </c>
      <c r="H188" s="90"/>
      <c r="I188" s="90"/>
      <c r="J188" s="90"/>
      <c r="K188" s="90"/>
      <c r="L188" s="90"/>
      <c r="M188" s="90"/>
    </row>
    <row r="189" spans="1:13" s="52" customFormat="1" ht="21.75" customHeight="1" x14ac:dyDescent="0.2">
      <c r="A189" s="66" t="s">
        <v>149</v>
      </c>
      <c r="B189" s="67" t="s">
        <v>160</v>
      </c>
      <c r="C189" s="67" t="s">
        <v>297</v>
      </c>
      <c r="D189" s="68" t="s">
        <v>302</v>
      </c>
      <c r="E189" s="68" t="s">
        <v>150</v>
      </c>
      <c r="F189" s="290">
        <f t="shared" si="12"/>
        <v>50.69</v>
      </c>
      <c r="G189" s="290">
        <f t="shared" si="12"/>
        <v>69.920000000000016</v>
      </c>
      <c r="H189" s="90"/>
      <c r="I189" s="90"/>
      <c r="J189" s="90"/>
      <c r="K189" s="90"/>
      <c r="L189" s="90"/>
      <c r="M189" s="90"/>
    </row>
    <row r="190" spans="1:13" s="52" customFormat="1" ht="21.75" customHeight="1" x14ac:dyDescent="0.2">
      <c r="A190" s="66" t="s">
        <v>151</v>
      </c>
      <c r="B190" s="67" t="s">
        <v>160</v>
      </c>
      <c r="C190" s="67" t="s">
        <v>297</v>
      </c>
      <c r="D190" s="68" t="s">
        <v>302</v>
      </c>
      <c r="E190" s="68" t="s">
        <v>152</v>
      </c>
      <c r="F190" s="290">
        <f t="shared" si="12"/>
        <v>50.69</v>
      </c>
      <c r="G190" s="290">
        <f t="shared" si="12"/>
        <v>69.920000000000016</v>
      </c>
      <c r="H190" s="90"/>
      <c r="I190" s="90"/>
      <c r="J190" s="90"/>
      <c r="K190" s="90"/>
      <c r="L190" s="90"/>
      <c r="M190" s="90"/>
    </row>
    <row r="191" spans="1:13" s="52" customFormat="1" ht="21.75" customHeight="1" x14ac:dyDescent="0.2">
      <c r="A191" s="70" t="s">
        <v>153</v>
      </c>
      <c r="B191" s="67" t="s">
        <v>160</v>
      </c>
      <c r="C191" s="67" t="s">
        <v>297</v>
      </c>
      <c r="D191" s="68" t="s">
        <v>302</v>
      </c>
      <c r="E191" s="68" t="s">
        <v>154</v>
      </c>
      <c r="F191" s="290">
        <f>'ПР 8 ведом'!G327</f>
        <v>50.69</v>
      </c>
      <c r="G191" s="290">
        <f>'ПР 8 ведом'!H327</f>
        <v>69.920000000000016</v>
      </c>
      <c r="H191" s="90"/>
      <c r="I191" s="90"/>
      <c r="J191" s="90"/>
      <c r="K191" s="90"/>
      <c r="L191" s="90"/>
      <c r="M191" s="90"/>
    </row>
    <row r="192" spans="1:13" s="52" customFormat="1" ht="30.75" customHeight="1" x14ac:dyDescent="0.2">
      <c r="A192" s="66" t="s">
        <v>303</v>
      </c>
      <c r="B192" s="67" t="s">
        <v>160</v>
      </c>
      <c r="C192" s="67" t="s">
        <v>297</v>
      </c>
      <c r="D192" s="68" t="s">
        <v>304</v>
      </c>
      <c r="E192" s="68"/>
      <c r="F192" s="290">
        <f t="shared" ref="F192:G194" si="13">F193</f>
        <v>26.76</v>
      </c>
      <c r="G192" s="290">
        <f t="shared" si="13"/>
        <v>26.220000000000002</v>
      </c>
      <c r="H192" s="90"/>
      <c r="I192" s="90"/>
      <c r="J192" s="90"/>
      <c r="K192" s="90"/>
      <c r="L192" s="90"/>
      <c r="M192" s="90"/>
    </row>
    <row r="193" spans="1:13" s="52" customFormat="1" ht="22.5" customHeight="1" x14ac:dyDescent="0.2">
      <c r="A193" s="66" t="s">
        <v>149</v>
      </c>
      <c r="B193" s="67" t="s">
        <v>160</v>
      </c>
      <c r="C193" s="67" t="s">
        <v>297</v>
      </c>
      <c r="D193" s="68" t="s">
        <v>304</v>
      </c>
      <c r="E193" s="68" t="s">
        <v>150</v>
      </c>
      <c r="F193" s="290">
        <f t="shared" si="13"/>
        <v>26.76</v>
      </c>
      <c r="G193" s="290">
        <f t="shared" si="13"/>
        <v>26.220000000000002</v>
      </c>
      <c r="H193" s="90"/>
      <c r="I193" s="90"/>
      <c r="J193" s="90"/>
      <c r="K193" s="90"/>
      <c r="L193" s="90"/>
      <c r="M193" s="90"/>
    </row>
    <row r="194" spans="1:13" s="52" customFormat="1" ht="22.5" customHeight="1" x14ac:dyDescent="0.2">
      <c r="A194" s="66" t="s">
        <v>151</v>
      </c>
      <c r="B194" s="67" t="s">
        <v>160</v>
      </c>
      <c r="C194" s="67" t="s">
        <v>297</v>
      </c>
      <c r="D194" s="68" t="s">
        <v>304</v>
      </c>
      <c r="E194" s="68" t="s">
        <v>152</v>
      </c>
      <c r="F194" s="290">
        <f t="shared" si="13"/>
        <v>26.76</v>
      </c>
      <c r="G194" s="290">
        <f t="shared" si="13"/>
        <v>26.220000000000002</v>
      </c>
      <c r="H194" s="90"/>
      <c r="I194" s="90"/>
      <c r="J194" s="90"/>
      <c r="K194" s="90"/>
      <c r="L194" s="90"/>
      <c r="M194" s="90"/>
    </row>
    <row r="195" spans="1:13" s="52" customFormat="1" ht="22.5" customHeight="1" x14ac:dyDescent="0.2">
      <c r="A195" s="70" t="s">
        <v>153</v>
      </c>
      <c r="B195" s="67" t="s">
        <v>160</v>
      </c>
      <c r="C195" s="67" t="s">
        <v>297</v>
      </c>
      <c r="D195" s="68" t="s">
        <v>304</v>
      </c>
      <c r="E195" s="68" t="s">
        <v>154</v>
      </c>
      <c r="F195" s="290">
        <f>'ПР 8 ведом'!G331</f>
        <v>26.76</v>
      </c>
      <c r="G195" s="290">
        <f>'ПР 8 ведом'!H331</f>
        <v>26.220000000000002</v>
      </c>
      <c r="H195" s="90"/>
      <c r="I195" s="90"/>
      <c r="J195" s="90"/>
      <c r="K195" s="90"/>
      <c r="L195" s="90"/>
      <c r="M195" s="90"/>
    </row>
    <row r="196" spans="1:13" s="52" customFormat="1" ht="15.75" customHeight="1" x14ac:dyDescent="0.2">
      <c r="A196" s="66" t="s">
        <v>305</v>
      </c>
      <c r="B196" s="67" t="s">
        <v>160</v>
      </c>
      <c r="C196" s="67" t="s">
        <v>297</v>
      </c>
      <c r="D196" s="68" t="s">
        <v>306</v>
      </c>
      <c r="E196" s="68"/>
      <c r="F196" s="290">
        <f t="shared" ref="F196:G198" si="14">F197</f>
        <v>89.2</v>
      </c>
      <c r="G196" s="290">
        <f t="shared" si="14"/>
        <v>87.4</v>
      </c>
      <c r="H196" s="90"/>
      <c r="I196" s="90"/>
      <c r="J196" s="90"/>
      <c r="K196" s="90"/>
      <c r="L196" s="90"/>
      <c r="M196" s="90"/>
    </row>
    <row r="197" spans="1:13" s="52" customFormat="1" ht="24" customHeight="1" x14ac:dyDescent="0.2">
      <c r="A197" s="66" t="s">
        <v>149</v>
      </c>
      <c r="B197" s="67" t="s">
        <v>160</v>
      </c>
      <c r="C197" s="67" t="s">
        <v>297</v>
      </c>
      <c r="D197" s="68" t="s">
        <v>306</v>
      </c>
      <c r="E197" s="68" t="s">
        <v>150</v>
      </c>
      <c r="F197" s="290">
        <f t="shared" si="14"/>
        <v>89.2</v>
      </c>
      <c r="G197" s="290">
        <f t="shared" si="14"/>
        <v>87.4</v>
      </c>
      <c r="H197" s="90"/>
      <c r="I197" s="90"/>
      <c r="J197" s="90"/>
      <c r="K197" s="90"/>
      <c r="L197" s="90"/>
      <c r="M197" s="90"/>
    </row>
    <row r="198" spans="1:13" s="52" customFormat="1" ht="19.5" customHeight="1" x14ac:dyDescent="0.2">
      <c r="A198" s="66" t="s">
        <v>151</v>
      </c>
      <c r="B198" s="67" t="s">
        <v>160</v>
      </c>
      <c r="C198" s="67" t="s">
        <v>297</v>
      </c>
      <c r="D198" s="68" t="s">
        <v>306</v>
      </c>
      <c r="E198" s="68" t="s">
        <v>152</v>
      </c>
      <c r="F198" s="290">
        <f t="shared" si="14"/>
        <v>89.2</v>
      </c>
      <c r="G198" s="290">
        <f t="shared" si="14"/>
        <v>87.4</v>
      </c>
      <c r="H198" s="90"/>
      <c r="I198" s="90"/>
      <c r="J198" s="90"/>
      <c r="K198" s="90"/>
      <c r="L198" s="90"/>
      <c r="M198" s="90"/>
    </row>
    <row r="199" spans="1:13" s="52" customFormat="1" ht="19.5" customHeight="1" x14ac:dyDescent="0.2">
      <c r="A199" s="70" t="s">
        <v>153</v>
      </c>
      <c r="B199" s="67" t="s">
        <v>160</v>
      </c>
      <c r="C199" s="67" t="s">
        <v>297</v>
      </c>
      <c r="D199" s="68" t="s">
        <v>306</v>
      </c>
      <c r="E199" s="68" t="s">
        <v>154</v>
      </c>
      <c r="F199" s="290">
        <f>'ПР 8 ведом'!G335</f>
        <v>89.2</v>
      </c>
      <c r="G199" s="290">
        <f>'ПР 8 ведом'!H335</f>
        <v>87.4</v>
      </c>
      <c r="H199" s="90"/>
      <c r="I199" s="90"/>
      <c r="J199" s="90"/>
      <c r="K199" s="90"/>
      <c r="L199" s="90"/>
      <c r="M199" s="90"/>
    </row>
    <row r="200" spans="1:13" s="52" customFormat="1" ht="30.75" customHeight="1" x14ac:dyDescent="0.2">
      <c r="A200" s="66" t="s">
        <v>307</v>
      </c>
      <c r="B200" s="67" t="s">
        <v>160</v>
      </c>
      <c r="C200" s="67" t="s">
        <v>297</v>
      </c>
      <c r="D200" s="68" t="s">
        <v>308</v>
      </c>
      <c r="E200" s="68"/>
      <c r="F200" s="290">
        <f t="shared" ref="F200:G202" si="15">F201</f>
        <v>178.4</v>
      </c>
      <c r="G200" s="290">
        <f t="shared" si="15"/>
        <v>174.8</v>
      </c>
      <c r="H200" s="90"/>
      <c r="I200" s="90"/>
      <c r="J200" s="90"/>
      <c r="K200" s="90"/>
      <c r="L200" s="90"/>
      <c r="M200" s="90"/>
    </row>
    <row r="201" spans="1:13" s="52" customFormat="1" ht="24" customHeight="1" x14ac:dyDescent="0.2">
      <c r="A201" s="66" t="s">
        <v>149</v>
      </c>
      <c r="B201" s="67" t="s">
        <v>160</v>
      </c>
      <c r="C201" s="67" t="s">
        <v>297</v>
      </c>
      <c r="D201" s="68" t="s">
        <v>308</v>
      </c>
      <c r="E201" s="68" t="s">
        <v>150</v>
      </c>
      <c r="F201" s="290">
        <f t="shared" si="15"/>
        <v>178.4</v>
      </c>
      <c r="G201" s="290">
        <f t="shared" si="15"/>
        <v>174.8</v>
      </c>
      <c r="H201" s="90"/>
      <c r="I201" s="90"/>
      <c r="J201" s="90"/>
      <c r="K201" s="90"/>
      <c r="L201" s="90"/>
      <c r="M201" s="90"/>
    </row>
    <row r="202" spans="1:13" s="52" customFormat="1" ht="24" customHeight="1" x14ac:dyDescent="0.2">
      <c r="A202" s="66" t="s">
        <v>151</v>
      </c>
      <c r="B202" s="67" t="s">
        <v>160</v>
      </c>
      <c r="C202" s="67" t="s">
        <v>297</v>
      </c>
      <c r="D202" s="68" t="s">
        <v>308</v>
      </c>
      <c r="E202" s="68" t="s">
        <v>152</v>
      </c>
      <c r="F202" s="290">
        <f t="shared" si="15"/>
        <v>178.4</v>
      </c>
      <c r="G202" s="290">
        <f t="shared" si="15"/>
        <v>174.8</v>
      </c>
      <c r="H202" s="90"/>
      <c r="I202" s="90"/>
      <c r="J202" s="90"/>
      <c r="K202" s="90"/>
      <c r="L202" s="90"/>
      <c r="M202" s="90"/>
    </row>
    <row r="203" spans="1:13" s="52" customFormat="1" ht="24" customHeight="1" x14ac:dyDescent="0.2">
      <c r="A203" s="70" t="s">
        <v>153</v>
      </c>
      <c r="B203" s="67" t="s">
        <v>160</v>
      </c>
      <c r="C203" s="67" t="s">
        <v>297</v>
      </c>
      <c r="D203" s="68" t="s">
        <v>308</v>
      </c>
      <c r="E203" s="68" t="s">
        <v>154</v>
      </c>
      <c r="F203" s="290">
        <f>'ПР 8 ведом'!G339</f>
        <v>178.4</v>
      </c>
      <c r="G203" s="290">
        <f>'ПР 8 ведом'!H339</f>
        <v>174.8</v>
      </c>
      <c r="H203" s="90"/>
      <c r="I203" s="90"/>
      <c r="J203" s="90"/>
      <c r="K203" s="90"/>
      <c r="L203" s="90"/>
      <c r="M203" s="90"/>
    </row>
    <row r="204" spans="1:13" s="52" customFormat="1" ht="12.75" customHeight="1" x14ac:dyDescent="0.2">
      <c r="A204" s="66" t="s">
        <v>309</v>
      </c>
      <c r="B204" s="67" t="s">
        <v>160</v>
      </c>
      <c r="C204" s="67" t="s">
        <v>297</v>
      </c>
      <c r="D204" s="68" t="s">
        <v>310</v>
      </c>
      <c r="E204" s="68"/>
      <c r="F204" s="290">
        <f t="shared" ref="F204:G206" si="16">F205</f>
        <v>26.76</v>
      </c>
      <c r="G204" s="290">
        <f t="shared" si="16"/>
        <v>26.220000000000002</v>
      </c>
      <c r="H204" s="90"/>
      <c r="I204" s="90"/>
      <c r="J204" s="90"/>
      <c r="K204" s="90"/>
      <c r="L204" s="90"/>
      <c r="M204" s="90"/>
    </row>
    <row r="205" spans="1:13" s="52" customFormat="1" ht="25.5" customHeight="1" x14ac:dyDescent="0.2">
      <c r="A205" s="66" t="s">
        <v>149</v>
      </c>
      <c r="B205" s="67" t="s">
        <v>160</v>
      </c>
      <c r="C205" s="67" t="s">
        <v>297</v>
      </c>
      <c r="D205" s="68" t="s">
        <v>310</v>
      </c>
      <c r="E205" s="68" t="s">
        <v>150</v>
      </c>
      <c r="F205" s="290">
        <f t="shared" si="16"/>
        <v>26.76</v>
      </c>
      <c r="G205" s="290">
        <f t="shared" si="16"/>
        <v>26.220000000000002</v>
      </c>
      <c r="H205" s="90"/>
      <c r="I205" s="90"/>
      <c r="J205" s="90"/>
      <c r="K205" s="90"/>
      <c r="L205" s="90"/>
      <c r="M205" s="90"/>
    </row>
    <row r="206" spans="1:13" s="52" customFormat="1" ht="27" customHeight="1" x14ac:dyDescent="0.2">
      <c r="A206" s="66" t="s">
        <v>151</v>
      </c>
      <c r="B206" s="67" t="s">
        <v>160</v>
      </c>
      <c r="C206" s="67" t="s">
        <v>297</v>
      </c>
      <c r="D206" s="68" t="s">
        <v>310</v>
      </c>
      <c r="E206" s="68" t="s">
        <v>152</v>
      </c>
      <c r="F206" s="290">
        <f t="shared" si="16"/>
        <v>26.76</v>
      </c>
      <c r="G206" s="290">
        <f t="shared" si="16"/>
        <v>26.220000000000002</v>
      </c>
      <c r="H206" s="90"/>
      <c r="I206" s="90"/>
      <c r="J206" s="90"/>
      <c r="K206" s="90"/>
      <c r="L206" s="90"/>
      <c r="M206" s="90"/>
    </row>
    <row r="207" spans="1:13" s="52" customFormat="1" ht="27" customHeight="1" x14ac:dyDescent="0.2">
      <c r="A207" s="70" t="s">
        <v>153</v>
      </c>
      <c r="B207" s="67" t="s">
        <v>160</v>
      </c>
      <c r="C207" s="67" t="s">
        <v>297</v>
      </c>
      <c r="D207" s="68" t="s">
        <v>310</v>
      </c>
      <c r="E207" s="68" t="s">
        <v>154</v>
      </c>
      <c r="F207" s="290">
        <f>'ПР 8 ведом'!G343</f>
        <v>26.76</v>
      </c>
      <c r="G207" s="290">
        <f>'ПР 8 ведом'!H343</f>
        <v>26.220000000000002</v>
      </c>
      <c r="H207" s="90"/>
      <c r="I207" s="90"/>
      <c r="J207" s="90"/>
      <c r="K207" s="90"/>
      <c r="L207" s="90"/>
      <c r="M207" s="90"/>
    </row>
    <row r="208" spans="1:13" s="52" customFormat="1" ht="27" customHeight="1" x14ac:dyDescent="0.2">
      <c r="A208" s="70" t="s">
        <v>311</v>
      </c>
      <c r="B208" s="67" t="s">
        <v>160</v>
      </c>
      <c r="C208" s="67" t="s">
        <v>297</v>
      </c>
      <c r="D208" s="68" t="s">
        <v>312</v>
      </c>
      <c r="E208" s="68"/>
      <c r="F208" s="290">
        <f t="shared" ref="F208:G210" si="17">F209</f>
        <v>59.050400000000003</v>
      </c>
      <c r="G208" s="290">
        <f t="shared" si="17"/>
        <v>57.858800000000009</v>
      </c>
      <c r="H208" s="90"/>
      <c r="I208" s="90"/>
      <c r="J208" s="90"/>
      <c r="K208" s="90"/>
      <c r="L208" s="90"/>
      <c r="M208" s="90"/>
    </row>
    <row r="209" spans="1:13" s="52" customFormat="1" x14ac:dyDescent="0.2">
      <c r="A209" s="66" t="s">
        <v>313</v>
      </c>
      <c r="B209" s="67" t="s">
        <v>160</v>
      </c>
      <c r="C209" s="67" t="s">
        <v>297</v>
      </c>
      <c r="D209" s="68" t="s">
        <v>314</v>
      </c>
      <c r="E209" s="68"/>
      <c r="F209" s="290">
        <f t="shared" si="17"/>
        <v>59.050400000000003</v>
      </c>
      <c r="G209" s="290">
        <f t="shared" si="17"/>
        <v>57.858800000000009</v>
      </c>
      <c r="H209" s="90"/>
      <c r="I209" s="90"/>
      <c r="J209" s="90"/>
      <c r="K209" s="90"/>
      <c r="L209" s="90"/>
      <c r="M209" s="90"/>
    </row>
    <row r="210" spans="1:13" s="52" customFormat="1" x14ac:dyDescent="0.2">
      <c r="A210" s="66" t="s">
        <v>172</v>
      </c>
      <c r="B210" s="67" t="s">
        <v>160</v>
      </c>
      <c r="C210" s="67" t="s">
        <v>297</v>
      </c>
      <c r="D210" s="68" t="s">
        <v>314</v>
      </c>
      <c r="E210" s="68">
        <v>800</v>
      </c>
      <c r="F210" s="290">
        <f t="shared" si="17"/>
        <v>59.050400000000003</v>
      </c>
      <c r="G210" s="290">
        <f t="shared" si="17"/>
        <v>57.858800000000009</v>
      </c>
      <c r="H210" s="90"/>
      <c r="I210" s="90"/>
      <c r="J210" s="90"/>
      <c r="K210" s="90"/>
      <c r="L210" s="90"/>
      <c r="M210" s="90"/>
    </row>
    <row r="211" spans="1:13" s="52" customFormat="1" ht="38.25" customHeight="1" x14ac:dyDescent="0.2">
      <c r="A211" s="70" t="s">
        <v>315</v>
      </c>
      <c r="B211" s="67" t="s">
        <v>160</v>
      </c>
      <c r="C211" s="67" t="s">
        <v>297</v>
      </c>
      <c r="D211" s="68" t="s">
        <v>314</v>
      </c>
      <c r="E211" s="68">
        <v>810</v>
      </c>
      <c r="F211" s="290">
        <f>'ПР 8 ведом'!G347</f>
        <v>59.050400000000003</v>
      </c>
      <c r="G211" s="290">
        <f>'ПР 8 ведом'!H347</f>
        <v>57.858800000000009</v>
      </c>
      <c r="H211" s="90"/>
      <c r="I211" s="90"/>
      <c r="J211" s="90"/>
      <c r="K211" s="90"/>
      <c r="L211" s="90"/>
      <c r="M211" s="90"/>
    </row>
    <row r="212" spans="1:13" s="52" customFormat="1" ht="27" customHeight="1" x14ac:dyDescent="0.2">
      <c r="A212" s="66" t="s">
        <v>316</v>
      </c>
      <c r="B212" s="67" t="s">
        <v>160</v>
      </c>
      <c r="C212" s="67" t="s">
        <v>297</v>
      </c>
      <c r="D212" s="68" t="s">
        <v>317</v>
      </c>
      <c r="E212" s="68"/>
      <c r="F212" s="290">
        <f t="shared" ref="F212:G215" si="18">F213</f>
        <v>172.86960000000002</v>
      </c>
      <c r="G212" s="290">
        <f t="shared" si="18"/>
        <v>169.38120000000004</v>
      </c>
      <c r="H212" s="90"/>
      <c r="I212" s="90"/>
      <c r="J212" s="90"/>
      <c r="K212" s="90"/>
      <c r="L212" s="90"/>
      <c r="M212" s="90"/>
    </row>
    <row r="213" spans="1:13" s="52" customFormat="1" ht="22.5" customHeight="1" x14ac:dyDescent="0.2">
      <c r="A213" s="66" t="s">
        <v>318</v>
      </c>
      <c r="B213" s="67" t="s">
        <v>160</v>
      </c>
      <c r="C213" s="67" t="s">
        <v>297</v>
      </c>
      <c r="D213" s="68" t="s">
        <v>319</v>
      </c>
      <c r="E213" s="68"/>
      <c r="F213" s="290">
        <f t="shared" si="18"/>
        <v>172.86960000000002</v>
      </c>
      <c r="G213" s="290">
        <f t="shared" si="18"/>
        <v>169.38120000000004</v>
      </c>
      <c r="H213" s="90"/>
      <c r="I213" s="90"/>
      <c r="J213" s="90"/>
      <c r="K213" s="90"/>
      <c r="L213" s="90"/>
      <c r="M213" s="90"/>
    </row>
    <row r="214" spans="1:13" s="52" customFormat="1" ht="22.5" customHeight="1" x14ac:dyDescent="0.2">
      <c r="A214" s="75" t="s">
        <v>197</v>
      </c>
      <c r="B214" s="67" t="s">
        <v>160</v>
      </c>
      <c r="C214" s="67" t="s">
        <v>297</v>
      </c>
      <c r="D214" s="68" t="s">
        <v>319</v>
      </c>
      <c r="E214" s="84">
        <v>300</v>
      </c>
      <c r="F214" s="290">
        <f t="shared" si="18"/>
        <v>172.86960000000002</v>
      </c>
      <c r="G214" s="290">
        <f t="shared" si="18"/>
        <v>169.38120000000004</v>
      </c>
      <c r="H214" s="90"/>
      <c r="I214" s="90"/>
      <c r="J214" s="90"/>
      <c r="K214" s="90"/>
      <c r="L214" s="90"/>
      <c r="M214" s="90"/>
    </row>
    <row r="215" spans="1:13" s="52" customFormat="1" ht="22.5" customHeight="1" x14ac:dyDescent="0.2">
      <c r="A215" s="83" t="s">
        <v>572</v>
      </c>
      <c r="B215" s="67" t="s">
        <v>160</v>
      </c>
      <c r="C215" s="67" t="s">
        <v>297</v>
      </c>
      <c r="D215" s="68" t="s">
        <v>319</v>
      </c>
      <c r="E215" s="84">
        <v>320</v>
      </c>
      <c r="F215" s="290">
        <f t="shared" si="18"/>
        <v>172.86960000000002</v>
      </c>
      <c r="G215" s="290">
        <f t="shared" si="18"/>
        <v>169.38120000000004</v>
      </c>
      <c r="H215" s="90"/>
      <c r="I215" s="90"/>
      <c r="J215" s="90"/>
      <c r="K215" s="90"/>
      <c r="L215" s="90"/>
      <c r="M215" s="90"/>
    </row>
    <row r="216" spans="1:13" s="52" customFormat="1" ht="22.5" customHeight="1" x14ac:dyDescent="0.2">
      <c r="A216" s="115" t="s">
        <v>469</v>
      </c>
      <c r="B216" s="67" t="s">
        <v>160</v>
      </c>
      <c r="C216" s="67" t="s">
        <v>297</v>
      </c>
      <c r="D216" s="68" t="s">
        <v>319</v>
      </c>
      <c r="E216" s="84">
        <v>321</v>
      </c>
      <c r="F216" s="290">
        <f>'ПР 8 ведом'!G352</f>
        <v>172.86960000000002</v>
      </c>
      <c r="G216" s="290">
        <f>'ПР 8 ведом'!H352</f>
        <v>169.38120000000004</v>
      </c>
      <c r="H216" s="90"/>
      <c r="I216" s="90"/>
      <c r="J216" s="90"/>
      <c r="K216" s="90"/>
      <c r="L216" s="90"/>
      <c r="M216" s="90"/>
    </row>
    <row r="217" spans="1:13" s="52" customFormat="1" ht="43.5" customHeight="1" x14ac:dyDescent="0.2">
      <c r="A217" s="292" t="s">
        <v>411</v>
      </c>
      <c r="B217" s="94" t="s">
        <v>160</v>
      </c>
      <c r="C217" s="94" t="s">
        <v>297</v>
      </c>
      <c r="D217" s="96" t="s">
        <v>412</v>
      </c>
      <c r="E217" s="96" t="s">
        <v>184</v>
      </c>
      <c r="F217" s="138">
        <f>F220+F223</f>
        <v>312.2</v>
      </c>
      <c r="G217" s="138">
        <f>G220+G223</f>
        <v>305.90000000000009</v>
      </c>
      <c r="H217" s="90"/>
      <c r="I217" s="90"/>
      <c r="J217" s="90"/>
      <c r="K217" s="90"/>
      <c r="L217" s="90"/>
      <c r="M217" s="90"/>
    </row>
    <row r="218" spans="1:13" s="52" customFormat="1" ht="25.5" customHeight="1" x14ac:dyDescent="0.2">
      <c r="A218" s="71" t="s">
        <v>413</v>
      </c>
      <c r="B218" s="67" t="s">
        <v>160</v>
      </c>
      <c r="C218" s="67" t="s">
        <v>297</v>
      </c>
      <c r="D218" s="68" t="s">
        <v>414</v>
      </c>
      <c r="E218" s="68"/>
      <c r="F218" s="131">
        <f>F219</f>
        <v>133.80000000000001</v>
      </c>
      <c r="G218" s="131">
        <f>G219</f>
        <v>131.10000000000002</v>
      </c>
      <c r="H218" s="90"/>
      <c r="I218" s="90"/>
      <c r="J218" s="90"/>
      <c r="K218" s="90"/>
      <c r="L218" s="90"/>
      <c r="M218" s="90"/>
    </row>
    <row r="219" spans="1:13" s="52" customFormat="1" ht="19.5" customHeight="1" x14ac:dyDescent="0.2">
      <c r="A219" s="293" t="s">
        <v>415</v>
      </c>
      <c r="B219" s="67" t="s">
        <v>160</v>
      </c>
      <c r="C219" s="67" t="s">
        <v>297</v>
      </c>
      <c r="D219" s="68" t="s">
        <v>416</v>
      </c>
      <c r="E219" s="68"/>
      <c r="F219" s="131">
        <f>+F220</f>
        <v>133.80000000000001</v>
      </c>
      <c r="G219" s="131">
        <f>+G220</f>
        <v>131.10000000000002</v>
      </c>
      <c r="H219" s="90"/>
      <c r="I219" s="90"/>
      <c r="J219" s="90"/>
      <c r="K219" s="90"/>
      <c r="L219" s="90"/>
      <c r="M219" s="90"/>
    </row>
    <row r="220" spans="1:13" s="52" customFormat="1" ht="19.5" customHeight="1" x14ac:dyDescent="0.2">
      <c r="A220" s="66" t="s">
        <v>149</v>
      </c>
      <c r="B220" s="67" t="s">
        <v>160</v>
      </c>
      <c r="C220" s="67" t="s">
        <v>297</v>
      </c>
      <c r="D220" s="68" t="s">
        <v>416</v>
      </c>
      <c r="E220" s="68" t="s">
        <v>150</v>
      </c>
      <c r="F220" s="131">
        <f>F221</f>
        <v>133.80000000000001</v>
      </c>
      <c r="G220" s="131">
        <f>G221</f>
        <v>131.10000000000002</v>
      </c>
      <c r="H220" s="90"/>
      <c r="I220" s="90"/>
      <c r="J220" s="90"/>
      <c r="K220" s="90"/>
      <c r="L220" s="90"/>
      <c r="M220" s="90"/>
    </row>
    <row r="221" spans="1:13" s="52" customFormat="1" ht="23.25" customHeight="1" x14ac:dyDescent="0.2">
      <c r="A221" s="66" t="s">
        <v>151</v>
      </c>
      <c r="B221" s="67" t="s">
        <v>160</v>
      </c>
      <c r="C221" s="67" t="s">
        <v>297</v>
      </c>
      <c r="D221" s="68" t="s">
        <v>416</v>
      </c>
      <c r="E221" s="68" t="s">
        <v>152</v>
      </c>
      <c r="F221" s="131">
        <f>F222</f>
        <v>133.80000000000001</v>
      </c>
      <c r="G221" s="131">
        <f>G222</f>
        <v>131.10000000000002</v>
      </c>
      <c r="H221" s="90"/>
      <c r="I221" s="90"/>
      <c r="J221" s="90"/>
      <c r="K221" s="90"/>
      <c r="L221" s="90"/>
      <c r="M221" s="90"/>
    </row>
    <row r="222" spans="1:13" s="52" customFormat="1" ht="23.25" customHeight="1" x14ac:dyDescent="0.2">
      <c r="A222" s="70" t="s">
        <v>153</v>
      </c>
      <c r="B222" s="67" t="s">
        <v>160</v>
      </c>
      <c r="C222" s="67" t="s">
        <v>297</v>
      </c>
      <c r="D222" s="68" t="s">
        <v>416</v>
      </c>
      <c r="E222" s="68" t="s">
        <v>154</v>
      </c>
      <c r="F222" s="131">
        <f>'ПР 8 ведом'!G517</f>
        <v>133.80000000000001</v>
      </c>
      <c r="G222" s="131">
        <f>'ПР 8 ведом'!H517</f>
        <v>131.10000000000002</v>
      </c>
      <c r="H222" s="90"/>
      <c r="I222" s="90"/>
      <c r="J222" s="90"/>
      <c r="K222" s="90"/>
      <c r="L222" s="90"/>
      <c r="M222" s="90"/>
    </row>
    <row r="223" spans="1:13" s="52" customFormat="1" ht="25.5" customHeight="1" x14ac:dyDescent="0.2">
      <c r="A223" s="69" t="s">
        <v>417</v>
      </c>
      <c r="B223" s="67" t="s">
        <v>160</v>
      </c>
      <c r="C223" s="67" t="s">
        <v>297</v>
      </c>
      <c r="D223" s="68" t="s">
        <v>418</v>
      </c>
      <c r="E223" s="68"/>
      <c r="F223" s="131">
        <f>F224</f>
        <v>178.39999999999998</v>
      </c>
      <c r="G223" s="131">
        <f>G224</f>
        <v>174.80000000000004</v>
      </c>
      <c r="H223" s="90"/>
      <c r="I223" s="90"/>
      <c r="J223" s="90"/>
      <c r="K223" s="90"/>
      <c r="L223" s="90"/>
      <c r="M223" s="90"/>
    </row>
    <row r="224" spans="1:13" s="52" customFormat="1" ht="45" x14ac:dyDescent="0.2">
      <c r="A224" s="69" t="s">
        <v>419</v>
      </c>
      <c r="B224" s="67" t="s">
        <v>160</v>
      </c>
      <c r="C224" s="67" t="s">
        <v>297</v>
      </c>
      <c r="D224" s="68" t="s">
        <v>420</v>
      </c>
      <c r="E224" s="68"/>
      <c r="F224" s="131">
        <f>F225+F228</f>
        <v>178.39999999999998</v>
      </c>
      <c r="G224" s="131">
        <f>G225+G228</f>
        <v>174.80000000000004</v>
      </c>
      <c r="H224" s="90"/>
      <c r="I224" s="90"/>
      <c r="J224" s="90"/>
      <c r="K224" s="90"/>
      <c r="L224" s="90"/>
      <c r="M224" s="90"/>
    </row>
    <row r="225" spans="1:13" s="52" customFormat="1" ht="45" x14ac:dyDescent="0.2">
      <c r="A225" s="83" t="s">
        <v>139</v>
      </c>
      <c r="B225" s="87" t="s">
        <v>160</v>
      </c>
      <c r="C225" s="87" t="s">
        <v>297</v>
      </c>
      <c r="D225" s="84" t="s">
        <v>420</v>
      </c>
      <c r="E225" s="84">
        <v>100</v>
      </c>
      <c r="F225" s="131">
        <f>F226</f>
        <v>8.92</v>
      </c>
      <c r="G225" s="131">
        <f>G226</f>
        <v>8.740000000000002</v>
      </c>
      <c r="H225" s="90"/>
      <c r="I225" s="90"/>
      <c r="J225" s="90"/>
      <c r="K225" s="90"/>
      <c r="L225" s="90"/>
      <c r="M225" s="90"/>
    </row>
    <row r="226" spans="1:13" s="52" customFormat="1" ht="22.5" x14ac:dyDescent="0.2">
      <c r="A226" s="83" t="s">
        <v>168</v>
      </c>
      <c r="B226" s="87" t="s">
        <v>160</v>
      </c>
      <c r="C226" s="87" t="s">
        <v>297</v>
      </c>
      <c r="D226" s="84" t="s">
        <v>420</v>
      </c>
      <c r="E226" s="84">
        <v>120</v>
      </c>
      <c r="F226" s="131">
        <f>F227</f>
        <v>8.92</v>
      </c>
      <c r="G226" s="131">
        <f>G227</f>
        <v>8.740000000000002</v>
      </c>
      <c r="H226" s="90"/>
      <c r="I226" s="90"/>
      <c r="J226" s="90"/>
      <c r="K226" s="90"/>
      <c r="L226" s="90"/>
      <c r="M226" s="90"/>
    </row>
    <row r="227" spans="1:13" s="52" customFormat="1" ht="22.5" x14ac:dyDescent="0.2">
      <c r="A227" s="69" t="s">
        <v>293</v>
      </c>
      <c r="B227" s="87" t="s">
        <v>160</v>
      </c>
      <c r="C227" s="87" t="s">
        <v>297</v>
      </c>
      <c r="D227" s="84" t="s">
        <v>420</v>
      </c>
      <c r="E227" s="84">
        <v>122</v>
      </c>
      <c r="F227" s="131">
        <f>'ПР 8 ведом'!G522</f>
        <v>8.92</v>
      </c>
      <c r="G227" s="131">
        <f>'ПР 8 ведом'!H522</f>
        <v>8.740000000000002</v>
      </c>
      <c r="H227" s="90"/>
      <c r="I227" s="90"/>
      <c r="J227" s="90"/>
      <c r="K227" s="90"/>
      <c r="L227" s="90"/>
      <c r="M227" s="90"/>
    </row>
    <row r="228" spans="1:13" s="52" customFormat="1" ht="25.5" customHeight="1" x14ac:dyDescent="0.2">
      <c r="A228" s="66" t="s">
        <v>149</v>
      </c>
      <c r="B228" s="67" t="s">
        <v>160</v>
      </c>
      <c r="C228" s="67" t="s">
        <v>297</v>
      </c>
      <c r="D228" s="68" t="s">
        <v>420</v>
      </c>
      <c r="E228" s="68" t="s">
        <v>150</v>
      </c>
      <c r="F228" s="131">
        <f>F229</f>
        <v>169.48</v>
      </c>
      <c r="G228" s="131">
        <f>G229</f>
        <v>166.06000000000003</v>
      </c>
      <c r="H228" s="90"/>
      <c r="I228" s="90"/>
      <c r="J228" s="90"/>
      <c r="K228" s="90"/>
      <c r="L228" s="90"/>
      <c r="M228" s="90"/>
    </row>
    <row r="229" spans="1:13" s="52" customFormat="1" ht="21.75" customHeight="1" x14ac:dyDescent="0.2">
      <c r="A229" s="66" t="s">
        <v>151</v>
      </c>
      <c r="B229" s="67" t="s">
        <v>160</v>
      </c>
      <c r="C229" s="67" t="s">
        <v>297</v>
      </c>
      <c r="D229" s="68" t="s">
        <v>420</v>
      </c>
      <c r="E229" s="68" t="s">
        <v>152</v>
      </c>
      <c r="F229" s="131">
        <f>F230</f>
        <v>169.48</v>
      </c>
      <c r="G229" s="131">
        <f>G230</f>
        <v>166.06000000000003</v>
      </c>
      <c r="H229" s="90"/>
      <c r="I229" s="90"/>
      <c r="J229" s="90"/>
      <c r="K229" s="90"/>
      <c r="L229" s="90"/>
      <c r="M229" s="90"/>
    </row>
    <row r="230" spans="1:13" s="52" customFormat="1" ht="23.25" customHeight="1" x14ac:dyDescent="0.2">
      <c r="A230" s="70" t="s">
        <v>153</v>
      </c>
      <c r="B230" s="67" t="s">
        <v>160</v>
      </c>
      <c r="C230" s="67" t="s">
        <v>297</v>
      </c>
      <c r="D230" s="68" t="s">
        <v>420</v>
      </c>
      <c r="E230" s="68" t="s">
        <v>154</v>
      </c>
      <c r="F230" s="131">
        <f>'ПР 8 ведом'!G525</f>
        <v>169.48</v>
      </c>
      <c r="G230" s="131">
        <f>'ПР 8 ведом'!H525</f>
        <v>166.06000000000003</v>
      </c>
      <c r="H230" s="90"/>
      <c r="I230" s="90"/>
      <c r="J230" s="90"/>
      <c r="K230" s="90"/>
      <c r="L230" s="90"/>
      <c r="M230" s="90"/>
    </row>
    <row r="231" spans="1:13" s="52" customFormat="1" ht="45" customHeight="1" x14ac:dyDescent="0.2">
      <c r="A231" s="61" t="s">
        <v>421</v>
      </c>
      <c r="B231" s="96" t="s">
        <v>160</v>
      </c>
      <c r="C231" s="94" t="s">
        <v>297</v>
      </c>
      <c r="D231" s="96" t="s">
        <v>422</v>
      </c>
      <c r="E231" s="96"/>
      <c r="F231" s="138">
        <f>+F232</f>
        <v>54.411999999999999</v>
      </c>
      <c r="G231" s="138">
        <f>+G232</f>
        <v>53.314000000000007</v>
      </c>
      <c r="H231" s="90"/>
      <c r="I231" s="90"/>
      <c r="J231" s="90"/>
      <c r="K231" s="90"/>
      <c r="L231" s="90"/>
      <c r="M231" s="90"/>
    </row>
    <row r="232" spans="1:13" s="52" customFormat="1" ht="22.5" customHeight="1" x14ac:dyDescent="0.2">
      <c r="A232" s="66" t="s">
        <v>423</v>
      </c>
      <c r="B232" s="67" t="s">
        <v>160</v>
      </c>
      <c r="C232" s="67" t="s">
        <v>297</v>
      </c>
      <c r="D232" s="68" t="s">
        <v>424</v>
      </c>
      <c r="E232" s="68" t="s">
        <v>184</v>
      </c>
      <c r="F232" s="290">
        <f t="shared" ref="F232:G234" si="19">F233</f>
        <v>54.411999999999999</v>
      </c>
      <c r="G232" s="290">
        <f t="shared" si="19"/>
        <v>53.314000000000007</v>
      </c>
      <c r="H232" s="90"/>
      <c r="I232" s="90"/>
      <c r="J232" s="90"/>
      <c r="K232" s="90"/>
      <c r="L232" s="90"/>
      <c r="M232" s="90"/>
    </row>
    <row r="233" spans="1:13" s="52" customFormat="1" ht="22.5" customHeight="1" x14ac:dyDescent="0.2">
      <c r="A233" s="66" t="s">
        <v>149</v>
      </c>
      <c r="B233" s="67" t="s">
        <v>160</v>
      </c>
      <c r="C233" s="67" t="s">
        <v>297</v>
      </c>
      <c r="D233" s="68" t="s">
        <v>424</v>
      </c>
      <c r="E233" s="68" t="s">
        <v>150</v>
      </c>
      <c r="F233" s="290">
        <f t="shared" si="19"/>
        <v>54.411999999999999</v>
      </c>
      <c r="G233" s="290">
        <f t="shared" si="19"/>
        <v>53.314000000000007</v>
      </c>
      <c r="H233" s="90"/>
      <c r="I233" s="90"/>
      <c r="J233" s="90"/>
      <c r="K233" s="90"/>
      <c r="L233" s="90"/>
      <c r="M233" s="90"/>
    </row>
    <row r="234" spans="1:13" s="52" customFormat="1" ht="22.5" customHeight="1" x14ac:dyDescent="0.2">
      <c r="A234" s="70" t="s">
        <v>151</v>
      </c>
      <c r="B234" s="67" t="s">
        <v>160</v>
      </c>
      <c r="C234" s="67" t="s">
        <v>297</v>
      </c>
      <c r="D234" s="68" t="s">
        <v>424</v>
      </c>
      <c r="E234" s="68" t="s">
        <v>152</v>
      </c>
      <c r="F234" s="290">
        <f t="shared" si="19"/>
        <v>54.411999999999999</v>
      </c>
      <c r="G234" s="290">
        <f t="shared" si="19"/>
        <v>53.314000000000007</v>
      </c>
      <c r="H234" s="90"/>
      <c r="I234" s="90"/>
      <c r="J234" s="90"/>
      <c r="K234" s="90"/>
      <c r="L234" s="90"/>
      <c r="M234" s="90"/>
    </row>
    <row r="235" spans="1:13" s="52" customFormat="1" ht="25.5" customHeight="1" x14ac:dyDescent="0.2">
      <c r="A235" s="70" t="s">
        <v>153</v>
      </c>
      <c r="B235" s="67" t="s">
        <v>160</v>
      </c>
      <c r="C235" s="67" t="s">
        <v>297</v>
      </c>
      <c r="D235" s="68" t="s">
        <v>424</v>
      </c>
      <c r="E235" s="68" t="s">
        <v>154</v>
      </c>
      <c r="F235" s="290">
        <f>'ПР 8 ведом'!G530</f>
        <v>54.411999999999999</v>
      </c>
      <c r="G235" s="290">
        <f>'ПР 8 ведом'!H530</f>
        <v>53.314000000000007</v>
      </c>
      <c r="H235" s="90"/>
      <c r="I235" s="90"/>
      <c r="J235" s="90"/>
      <c r="K235" s="90"/>
      <c r="L235" s="90"/>
      <c r="M235" s="90"/>
    </row>
    <row r="236" spans="1:13" s="52" customFormat="1" ht="31.5" x14ac:dyDescent="0.2">
      <c r="A236" s="61" t="s">
        <v>430</v>
      </c>
      <c r="B236" s="94" t="s">
        <v>160</v>
      </c>
      <c r="C236" s="94" t="s">
        <v>297</v>
      </c>
      <c r="D236" s="96" t="s">
        <v>431</v>
      </c>
      <c r="E236" s="96" t="s">
        <v>184</v>
      </c>
      <c r="F236" s="138">
        <f t="shared" ref="F236:G239" si="20">F237</f>
        <v>378.4</v>
      </c>
      <c r="G236" s="138">
        <f t="shared" si="20"/>
        <v>374.8</v>
      </c>
      <c r="H236" s="90"/>
      <c r="I236" s="90"/>
      <c r="J236" s="90"/>
      <c r="K236" s="90"/>
      <c r="L236" s="90"/>
      <c r="M236" s="90"/>
    </row>
    <row r="237" spans="1:13" s="74" customFormat="1" ht="25.5" customHeight="1" x14ac:dyDescent="0.2">
      <c r="A237" s="66" t="s">
        <v>432</v>
      </c>
      <c r="B237" s="67" t="s">
        <v>160</v>
      </c>
      <c r="C237" s="67" t="s">
        <v>297</v>
      </c>
      <c r="D237" s="68" t="s">
        <v>433</v>
      </c>
      <c r="E237" s="68"/>
      <c r="F237" s="131">
        <f t="shared" si="20"/>
        <v>378.4</v>
      </c>
      <c r="G237" s="131">
        <f t="shared" si="20"/>
        <v>374.8</v>
      </c>
      <c r="H237" s="150"/>
      <c r="I237" s="150"/>
      <c r="J237" s="150"/>
      <c r="K237" s="150"/>
      <c r="L237" s="150"/>
      <c r="M237" s="150"/>
    </row>
    <row r="238" spans="1:13" s="74" customFormat="1" ht="22.5" customHeight="1" x14ac:dyDescent="0.2">
      <c r="A238" s="66" t="s">
        <v>149</v>
      </c>
      <c r="B238" s="67" t="s">
        <v>160</v>
      </c>
      <c r="C238" s="67" t="s">
        <v>297</v>
      </c>
      <c r="D238" s="68" t="s">
        <v>433</v>
      </c>
      <c r="E238" s="68" t="s">
        <v>150</v>
      </c>
      <c r="F238" s="131">
        <f t="shared" si="20"/>
        <v>378.4</v>
      </c>
      <c r="G238" s="131">
        <f t="shared" si="20"/>
        <v>374.8</v>
      </c>
      <c r="H238" s="150"/>
      <c r="I238" s="150"/>
      <c r="J238" s="150"/>
      <c r="K238" s="150"/>
      <c r="L238" s="150"/>
      <c r="M238" s="150"/>
    </row>
    <row r="239" spans="1:13" s="74" customFormat="1" ht="22.5" customHeight="1" x14ac:dyDescent="0.2">
      <c r="A239" s="66" t="s">
        <v>151</v>
      </c>
      <c r="B239" s="67" t="s">
        <v>160</v>
      </c>
      <c r="C239" s="67" t="s">
        <v>297</v>
      </c>
      <c r="D239" s="68" t="s">
        <v>433</v>
      </c>
      <c r="E239" s="68" t="s">
        <v>152</v>
      </c>
      <c r="F239" s="131">
        <f t="shared" si="20"/>
        <v>378.4</v>
      </c>
      <c r="G239" s="131">
        <f t="shared" si="20"/>
        <v>374.8</v>
      </c>
      <c r="H239" s="150"/>
      <c r="I239" s="150"/>
      <c r="J239" s="150"/>
      <c r="K239" s="150"/>
      <c r="L239" s="150"/>
      <c r="M239" s="150"/>
    </row>
    <row r="240" spans="1:13" s="74" customFormat="1" ht="22.5" customHeight="1" x14ac:dyDescent="0.2">
      <c r="A240" s="70" t="s">
        <v>153</v>
      </c>
      <c r="B240" s="67" t="s">
        <v>160</v>
      </c>
      <c r="C240" s="67" t="s">
        <v>297</v>
      </c>
      <c r="D240" s="68" t="s">
        <v>433</v>
      </c>
      <c r="E240" s="68" t="s">
        <v>154</v>
      </c>
      <c r="F240" s="131">
        <f>'ПР 8 ведом'!G544</f>
        <v>378.4</v>
      </c>
      <c r="G240" s="131">
        <f>'ПР 8 ведом'!H544</f>
        <v>374.8</v>
      </c>
      <c r="H240" s="150"/>
      <c r="I240" s="150"/>
      <c r="J240" s="150"/>
      <c r="K240" s="150"/>
      <c r="L240" s="150"/>
      <c r="M240" s="150"/>
    </row>
    <row r="241" spans="1:13" s="52" customFormat="1" ht="29.25" customHeight="1" x14ac:dyDescent="0.2">
      <c r="A241" s="61" t="s">
        <v>425</v>
      </c>
      <c r="B241" s="96" t="s">
        <v>160</v>
      </c>
      <c r="C241" s="94" t="s">
        <v>297</v>
      </c>
      <c r="D241" s="96" t="s">
        <v>426</v>
      </c>
      <c r="E241" s="96"/>
      <c r="F241" s="288">
        <f>F242+F246</f>
        <v>44.6</v>
      </c>
      <c r="G241" s="288">
        <f>G242+G246</f>
        <v>43.7</v>
      </c>
      <c r="H241" s="90"/>
      <c r="I241" s="90"/>
      <c r="J241" s="90"/>
      <c r="K241" s="90"/>
      <c r="L241" s="90"/>
      <c r="M241" s="90"/>
    </row>
    <row r="242" spans="1:13" s="52" customFormat="1" ht="24.75" customHeight="1" x14ac:dyDescent="0.2">
      <c r="A242" s="69" t="s">
        <v>67</v>
      </c>
      <c r="B242" s="68" t="s">
        <v>160</v>
      </c>
      <c r="C242" s="67" t="s">
        <v>297</v>
      </c>
      <c r="D242" s="68" t="s">
        <v>427</v>
      </c>
      <c r="E242" s="72"/>
      <c r="F242" s="290">
        <f t="shared" ref="F242:G244" si="21">F243</f>
        <v>0</v>
      </c>
      <c r="G242" s="290">
        <f t="shared" si="21"/>
        <v>0</v>
      </c>
      <c r="H242" s="90"/>
      <c r="I242" s="90"/>
      <c r="J242" s="90"/>
      <c r="K242" s="90"/>
      <c r="L242" s="90"/>
      <c r="M242" s="90"/>
    </row>
    <row r="243" spans="1:13" s="52" customFormat="1" ht="23.25" customHeight="1" x14ac:dyDescent="0.2">
      <c r="A243" s="66" t="s">
        <v>149</v>
      </c>
      <c r="B243" s="68" t="s">
        <v>160</v>
      </c>
      <c r="C243" s="67" t="s">
        <v>297</v>
      </c>
      <c r="D243" s="68" t="s">
        <v>427</v>
      </c>
      <c r="E243" s="91" t="s">
        <v>150</v>
      </c>
      <c r="F243" s="290">
        <f t="shared" si="21"/>
        <v>0</v>
      </c>
      <c r="G243" s="290">
        <f t="shared" si="21"/>
        <v>0</v>
      </c>
      <c r="H243" s="90"/>
      <c r="I243" s="90"/>
      <c r="J243" s="90"/>
      <c r="K243" s="90"/>
      <c r="L243" s="90"/>
      <c r="M243" s="90"/>
    </row>
    <row r="244" spans="1:13" s="52" customFormat="1" ht="22.5" customHeight="1" x14ac:dyDescent="0.2">
      <c r="A244" s="66" t="s">
        <v>151</v>
      </c>
      <c r="B244" s="68" t="s">
        <v>160</v>
      </c>
      <c r="C244" s="67" t="s">
        <v>297</v>
      </c>
      <c r="D244" s="68" t="s">
        <v>427</v>
      </c>
      <c r="E244" s="91" t="s">
        <v>152</v>
      </c>
      <c r="F244" s="290">
        <f t="shared" si="21"/>
        <v>0</v>
      </c>
      <c r="G244" s="290">
        <f t="shared" si="21"/>
        <v>0</v>
      </c>
      <c r="H244" s="90"/>
      <c r="I244" s="90"/>
      <c r="J244" s="90"/>
      <c r="K244" s="90"/>
      <c r="L244" s="90"/>
      <c r="M244" s="90"/>
    </row>
    <row r="245" spans="1:13" s="52" customFormat="1" ht="22.5" x14ac:dyDescent="0.2">
      <c r="A245" s="70" t="s">
        <v>153</v>
      </c>
      <c r="B245" s="68" t="s">
        <v>160</v>
      </c>
      <c r="C245" s="67" t="s">
        <v>297</v>
      </c>
      <c r="D245" s="68" t="s">
        <v>427</v>
      </c>
      <c r="E245" s="91" t="s">
        <v>154</v>
      </c>
      <c r="F245" s="131">
        <f>'ПР 8 ведом'!G535</f>
        <v>0</v>
      </c>
      <c r="G245" s="131">
        <f>'ПР 8 ведом'!H535</f>
        <v>0</v>
      </c>
      <c r="H245" s="90"/>
      <c r="I245" s="90"/>
      <c r="J245" s="90"/>
      <c r="K245" s="90"/>
      <c r="L245" s="90"/>
      <c r="M245" s="90"/>
    </row>
    <row r="246" spans="1:13" s="52" customFormat="1" x14ac:dyDescent="0.2">
      <c r="A246" s="293" t="s">
        <v>428</v>
      </c>
      <c r="B246" s="67" t="s">
        <v>160</v>
      </c>
      <c r="C246" s="67" t="s">
        <v>297</v>
      </c>
      <c r="D246" s="68" t="s">
        <v>429</v>
      </c>
      <c r="E246" s="68" t="s">
        <v>184</v>
      </c>
      <c r="F246" s="131">
        <f t="shared" ref="F246:G248" si="22">F247</f>
        <v>44.6</v>
      </c>
      <c r="G246" s="131">
        <f t="shared" si="22"/>
        <v>43.7</v>
      </c>
      <c r="H246" s="90"/>
      <c r="I246" s="90"/>
      <c r="J246" s="90"/>
      <c r="K246" s="90"/>
      <c r="L246" s="90"/>
      <c r="M246" s="90"/>
    </row>
    <row r="247" spans="1:13" s="52" customFormat="1" ht="24" customHeight="1" x14ac:dyDescent="0.2">
      <c r="A247" s="66" t="s">
        <v>149</v>
      </c>
      <c r="B247" s="67" t="s">
        <v>160</v>
      </c>
      <c r="C247" s="67" t="s">
        <v>297</v>
      </c>
      <c r="D247" s="68" t="s">
        <v>429</v>
      </c>
      <c r="E247" s="68" t="s">
        <v>150</v>
      </c>
      <c r="F247" s="131">
        <f t="shared" si="22"/>
        <v>44.6</v>
      </c>
      <c r="G247" s="131">
        <f t="shared" si="22"/>
        <v>43.7</v>
      </c>
      <c r="H247" s="90"/>
      <c r="I247" s="90"/>
      <c r="J247" s="90"/>
      <c r="K247" s="90"/>
      <c r="L247" s="90"/>
      <c r="M247" s="90"/>
    </row>
    <row r="248" spans="1:13" s="52" customFormat="1" ht="24" customHeight="1" x14ac:dyDescent="0.2">
      <c r="A248" s="66" t="s">
        <v>151</v>
      </c>
      <c r="B248" s="67" t="s">
        <v>160</v>
      </c>
      <c r="C248" s="67" t="s">
        <v>297</v>
      </c>
      <c r="D248" s="68" t="s">
        <v>429</v>
      </c>
      <c r="E248" s="68" t="s">
        <v>152</v>
      </c>
      <c r="F248" s="131">
        <f t="shared" si="22"/>
        <v>44.6</v>
      </c>
      <c r="G248" s="131">
        <f t="shared" si="22"/>
        <v>43.7</v>
      </c>
      <c r="H248" s="90"/>
      <c r="I248" s="90"/>
      <c r="J248" s="90"/>
      <c r="K248" s="90"/>
      <c r="L248" s="90"/>
      <c r="M248" s="90"/>
    </row>
    <row r="249" spans="1:13" s="52" customFormat="1" ht="24" customHeight="1" x14ac:dyDescent="0.2">
      <c r="A249" s="70" t="s">
        <v>153</v>
      </c>
      <c r="B249" s="67" t="s">
        <v>160</v>
      </c>
      <c r="C249" s="67" t="s">
        <v>297</v>
      </c>
      <c r="D249" s="68" t="s">
        <v>429</v>
      </c>
      <c r="E249" s="68" t="s">
        <v>154</v>
      </c>
      <c r="F249" s="131">
        <f>'ПР 8 ведом'!G539</f>
        <v>44.6</v>
      </c>
      <c r="G249" s="131">
        <f>'ПР 8 ведом'!H539</f>
        <v>43.7</v>
      </c>
      <c r="H249" s="90"/>
      <c r="I249" s="90"/>
      <c r="J249" s="90"/>
      <c r="K249" s="90"/>
      <c r="L249" s="90"/>
      <c r="M249" s="90"/>
    </row>
    <row r="250" spans="1:13" s="52" customFormat="1" x14ac:dyDescent="0.2">
      <c r="A250" s="342" t="s">
        <v>434</v>
      </c>
      <c r="B250" s="337" t="s">
        <v>286</v>
      </c>
      <c r="C250" s="305"/>
      <c r="D250" s="306"/>
      <c r="E250" s="306"/>
      <c r="F250" s="338">
        <f>F251</f>
        <v>624.40000000000009</v>
      </c>
      <c r="G250" s="338">
        <f>G251</f>
        <v>611.80000000000007</v>
      </c>
      <c r="H250" s="148"/>
      <c r="I250" s="90"/>
      <c r="J250" s="90"/>
      <c r="K250" s="90"/>
      <c r="L250" s="90"/>
      <c r="M250" s="90"/>
    </row>
    <row r="251" spans="1:13" s="52" customFormat="1" ht="11.25" customHeight="1" x14ac:dyDescent="0.2">
      <c r="A251" s="295" t="s">
        <v>435</v>
      </c>
      <c r="B251" s="94" t="s">
        <v>286</v>
      </c>
      <c r="C251" s="94" t="s">
        <v>188</v>
      </c>
      <c r="D251" s="96"/>
      <c r="E251" s="68"/>
      <c r="F251" s="138">
        <f>F252</f>
        <v>624.40000000000009</v>
      </c>
      <c r="G251" s="138">
        <f>G252</f>
        <v>611.80000000000007</v>
      </c>
      <c r="H251" s="90"/>
      <c r="I251" s="90"/>
      <c r="J251" s="90"/>
      <c r="K251" s="90"/>
      <c r="L251" s="90"/>
      <c r="M251" s="90"/>
    </row>
    <row r="252" spans="1:13" s="52" customFormat="1" ht="32.25" x14ac:dyDescent="0.2">
      <c r="A252" s="292" t="s">
        <v>436</v>
      </c>
      <c r="B252" s="94" t="s">
        <v>286</v>
      </c>
      <c r="C252" s="94" t="s">
        <v>188</v>
      </c>
      <c r="D252" s="96" t="s">
        <v>437</v>
      </c>
      <c r="E252" s="96"/>
      <c r="F252" s="138">
        <f>F253+F257+F261</f>
        <v>624.40000000000009</v>
      </c>
      <c r="G252" s="138">
        <f>G253+G257+G261</f>
        <v>611.80000000000007</v>
      </c>
      <c r="H252" s="90"/>
      <c r="I252" s="90"/>
      <c r="J252" s="90"/>
      <c r="K252" s="90"/>
      <c r="L252" s="90"/>
      <c r="M252" s="90"/>
    </row>
    <row r="253" spans="1:13" s="52" customFormat="1" ht="22.5" x14ac:dyDescent="0.2">
      <c r="A253" s="69" t="s">
        <v>438</v>
      </c>
      <c r="B253" s="67" t="s">
        <v>286</v>
      </c>
      <c r="C253" s="67" t="s">
        <v>188</v>
      </c>
      <c r="D253" s="68" t="s">
        <v>439</v>
      </c>
      <c r="E253" s="68"/>
      <c r="F253" s="131">
        <f t="shared" ref="F253:G255" si="23">F254</f>
        <v>573.11</v>
      </c>
      <c r="G253" s="131">
        <f t="shared" si="23"/>
        <v>561.54500000000007</v>
      </c>
      <c r="H253" s="90"/>
      <c r="I253" s="90"/>
      <c r="J253" s="90"/>
      <c r="K253" s="90"/>
      <c r="L253" s="90"/>
      <c r="M253" s="90"/>
    </row>
    <row r="254" spans="1:13" s="52" customFormat="1" ht="22.5" x14ac:dyDescent="0.2">
      <c r="A254" s="66" t="s">
        <v>149</v>
      </c>
      <c r="B254" s="67" t="s">
        <v>286</v>
      </c>
      <c r="C254" s="67" t="s">
        <v>188</v>
      </c>
      <c r="D254" s="68" t="s">
        <v>439</v>
      </c>
      <c r="E254" s="68" t="s">
        <v>150</v>
      </c>
      <c r="F254" s="131">
        <f t="shared" si="23"/>
        <v>573.11</v>
      </c>
      <c r="G254" s="131">
        <f t="shared" si="23"/>
        <v>561.54500000000007</v>
      </c>
      <c r="H254" s="90"/>
      <c r="I254" s="90"/>
      <c r="J254" s="90"/>
      <c r="K254" s="90"/>
      <c r="L254" s="90"/>
      <c r="M254" s="90"/>
    </row>
    <row r="255" spans="1:13" s="52" customFormat="1" ht="22.5" x14ac:dyDescent="0.2">
      <c r="A255" s="66" t="s">
        <v>151</v>
      </c>
      <c r="B255" s="67" t="s">
        <v>286</v>
      </c>
      <c r="C255" s="67" t="s">
        <v>188</v>
      </c>
      <c r="D255" s="68" t="s">
        <v>439</v>
      </c>
      <c r="E255" s="68" t="s">
        <v>152</v>
      </c>
      <c r="F255" s="131">
        <f t="shared" si="23"/>
        <v>573.11</v>
      </c>
      <c r="G255" s="131">
        <f t="shared" si="23"/>
        <v>561.54500000000007</v>
      </c>
      <c r="H255" s="90"/>
      <c r="I255" s="90"/>
      <c r="J255" s="90"/>
      <c r="K255" s="90"/>
      <c r="L255" s="90"/>
      <c r="M255" s="90"/>
    </row>
    <row r="256" spans="1:13" s="52" customFormat="1" ht="22.5" x14ac:dyDescent="0.2">
      <c r="A256" s="70" t="s">
        <v>153</v>
      </c>
      <c r="B256" s="67" t="s">
        <v>286</v>
      </c>
      <c r="C256" s="67" t="s">
        <v>188</v>
      </c>
      <c r="D256" s="68" t="s">
        <v>439</v>
      </c>
      <c r="E256" s="68" t="s">
        <v>154</v>
      </c>
      <c r="F256" s="131">
        <f>'ПР 8 ведом'!G551</f>
        <v>573.11</v>
      </c>
      <c r="G256" s="131">
        <f>'ПР 8 ведом'!H551</f>
        <v>561.54500000000007</v>
      </c>
      <c r="H256" s="90"/>
      <c r="I256" s="90"/>
      <c r="J256" s="90"/>
      <c r="K256" s="90"/>
      <c r="L256" s="90"/>
      <c r="M256" s="90"/>
    </row>
    <row r="257" spans="1:13" s="52" customFormat="1" ht="22.5" x14ac:dyDescent="0.2">
      <c r="A257" s="83" t="s">
        <v>440</v>
      </c>
      <c r="B257" s="67" t="s">
        <v>286</v>
      </c>
      <c r="C257" s="67" t="s">
        <v>188</v>
      </c>
      <c r="D257" s="68" t="s">
        <v>441</v>
      </c>
      <c r="E257" s="68"/>
      <c r="F257" s="131">
        <f t="shared" ref="F257:G259" si="24">F258</f>
        <v>17.84</v>
      </c>
      <c r="G257" s="131">
        <f t="shared" si="24"/>
        <v>17.480000000000004</v>
      </c>
      <c r="H257" s="90"/>
      <c r="I257" s="90"/>
      <c r="J257" s="90"/>
      <c r="K257" s="90"/>
      <c r="L257" s="90"/>
      <c r="M257" s="90"/>
    </row>
    <row r="258" spans="1:13" s="52" customFormat="1" ht="22.5" x14ac:dyDescent="0.2">
      <c r="A258" s="66" t="s">
        <v>149</v>
      </c>
      <c r="B258" s="67" t="s">
        <v>286</v>
      </c>
      <c r="C258" s="67" t="s">
        <v>188</v>
      </c>
      <c r="D258" s="68" t="s">
        <v>441</v>
      </c>
      <c r="E258" s="68" t="s">
        <v>150</v>
      </c>
      <c r="F258" s="131">
        <f t="shared" si="24"/>
        <v>17.84</v>
      </c>
      <c r="G258" s="131">
        <f t="shared" si="24"/>
        <v>17.480000000000004</v>
      </c>
      <c r="H258" s="90"/>
      <c r="I258" s="90"/>
      <c r="J258" s="90"/>
      <c r="K258" s="90"/>
      <c r="L258" s="90"/>
      <c r="M258" s="90"/>
    </row>
    <row r="259" spans="1:13" s="52" customFormat="1" ht="22.5" x14ac:dyDescent="0.2">
      <c r="A259" s="66" t="s">
        <v>151</v>
      </c>
      <c r="B259" s="67" t="s">
        <v>286</v>
      </c>
      <c r="C259" s="67" t="s">
        <v>188</v>
      </c>
      <c r="D259" s="68" t="s">
        <v>441</v>
      </c>
      <c r="E259" s="68" t="s">
        <v>152</v>
      </c>
      <c r="F259" s="131">
        <f t="shared" si="24"/>
        <v>17.84</v>
      </c>
      <c r="G259" s="131">
        <f t="shared" si="24"/>
        <v>17.480000000000004</v>
      </c>
      <c r="H259" s="90"/>
      <c r="I259" s="90"/>
      <c r="J259" s="90"/>
      <c r="K259" s="90"/>
      <c r="L259" s="90"/>
      <c r="M259" s="90"/>
    </row>
    <row r="260" spans="1:13" s="52" customFormat="1" ht="22.5" x14ac:dyDescent="0.2">
      <c r="A260" s="70" t="s">
        <v>153</v>
      </c>
      <c r="B260" s="67" t="s">
        <v>286</v>
      </c>
      <c r="C260" s="67" t="s">
        <v>188</v>
      </c>
      <c r="D260" s="68" t="s">
        <v>441</v>
      </c>
      <c r="E260" s="68" t="s">
        <v>154</v>
      </c>
      <c r="F260" s="131">
        <f>'ПР 8 ведом'!G555</f>
        <v>17.84</v>
      </c>
      <c r="G260" s="131">
        <f>'ПР 8 ведом'!H555</f>
        <v>17.480000000000004</v>
      </c>
      <c r="H260" s="90"/>
      <c r="I260" s="90"/>
      <c r="J260" s="90"/>
      <c r="K260" s="90"/>
      <c r="L260" s="90"/>
      <c r="M260" s="90"/>
    </row>
    <row r="261" spans="1:13" s="52" customFormat="1" ht="22.5" x14ac:dyDescent="0.2">
      <c r="A261" s="83" t="s">
        <v>442</v>
      </c>
      <c r="B261" s="67" t="s">
        <v>286</v>
      </c>
      <c r="C261" s="67" t="s">
        <v>188</v>
      </c>
      <c r="D261" s="68" t="s">
        <v>443</v>
      </c>
      <c r="E261" s="68"/>
      <c r="F261" s="131">
        <f t="shared" ref="F261:G263" si="25">F262</f>
        <v>33.450000000000003</v>
      </c>
      <c r="G261" s="131">
        <f t="shared" si="25"/>
        <v>32.775000000000006</v>
      </c>
      <c r="H261" s="90"/>
      <c r="I261" s="90"/>
      <c r="J261" s="90"/>
      <c r="K261" s="90"/>
      <c r="L261" s="90"/>
      <c r="M261" s="90"/>
    </row>
    <row r="262" spans="1:13" s="52" customFormat="1" ht="22.5" x14ac:dyDescent="0.2">
      <c r="A262" s="66" t="s">
        <v>149</v>
      </c>
      <c r="B262" s="67" t="s">
        <v>286</v>
      </c>
      <c r="C262" s="67" t="s">
        <v>188</v>
      </c>
      <c r="D262" s="68" t="s">
        <v>443</v>
      </c>
      <c r="E262" s="68" t="s">
        <v>150</v>
      </c>
      <c r="F262" s="131">
        <f t="shared" si="25"/>
        <v>33.450000000000003</v>
      </c>
      <c r="G262" s="131">
        <f t="shared" si="25"/>
        <v>32.775000000000006</v>
      </c>
      <c r="H262" s="90"/>
      <c r="I262" s="90"/>
      <c r="J262" s="90"/>
      <c r="K262" s="90"/>
      <c r="L262" s="90"/>
      <c r="M262" s="90"/>
    </row>
    <row r="263" spans="1:13" s="52" customFormat="1" ht="22.5" x14ac:dyDescent="0.2">
      <c r="A263" s="66" t="s">
        <v>151</v>
      </c>
      <c r="B263" s="67" t="s">
        <v>286</v>
      </c>
      <c r="C263" s="67" t="s">
        <v>188</v>
      </c>
      <c r="D263" s="68" t="s">
        <v>443</v>
      </c>
      <c r="E263" s="68" t="s">
        <v>152</v>
      </c>
      <c r="F263" s="131">
        <f t="shared" si="25"/>
        <v>33.450000000000003</v>
      </c>
      <c r="G263" s="131">
        <f t="shared" si="25"/>
        <v>32.775000000000006</v>
      </c>
      <c r="H263" s="90"/>
      <c r="I263" s="90"/>
      <c r="J263" s="90"/>
      <c r="K263" s="90"/>
      <c r="L263" s="90"/>
      <c r="M263" s="90"/>
    </row>
    <row r="264" spans="1:13" s="52" customFormat="1" ht="22.5" x14ac:dyDescent="0.2">
      <c r="A264" s="70" t="s">
        <v>153</v>
      </c>
      <c r="B264" s="67" t="s">
        <v>286</v>
      </c>
      <c r="C264" s="67" t="s">
        <v>188</v>
      </c>
      <c r="D264" s="68" t="s">
        <v>443</v>
      </c>
      <c r="E264" s="68" t="s">
        <v>154</v>
      </c>
      <c r="F264" s="131">
        <f>'ПР 8 ведом'!G559</f>
        <v>33.450000000000003</v>
      </c>
      <c r="G264" s="131">
        <f>'ПР 8 ведом'!H559</f>
        <v>32.775000000000006</v>
      </c>
      <c r="H264" s="90"/>
      <c r="I264" s="90"/>
      <c r="J264" s="90"/>
      <c r="K264" s="90"/>
      <c r="L264" s="90"/>
      <c r="M264" s="90"/>
    </row>
    <row r="265" spans="1:13" s="52" customFormat="1" x14ac:dyDescent="0.2">
      <c r="A265" s="341" t="s">
        <v>241</v>
      </c>
      <c r="B265" s="328" t="s">
        <v>242</v>
      </c>
      <c r="C265" s="337" t="s">
        <v>182</v>
      </c>
      <c r="D265" s="328" t="s">
        <v>183</v>
      </c>
      <c r="E265" s="328" t="s">
        <v>184</v>
      </c>
      <c r="F265" s="338">
        <f>F266+F303+F346+F356+F369</f>
        <v>300618.80839999998</v>
      </c>
      <c r="G265" s="338">
        <f>G266+G303+G346+G356+G369</f>
        <v>294594.48780000006</v>
      </c>
      <c r="H265" s="157"/>
      <c r="I265" s="90"/>
      <c r="J265" s="90"/>
      <c r="K265" s="90"/>
      <c r="L265" s="90"/>
      <c r="M265" s="90"/>
    </row>
    <row r="266" spans="1:13" s="52" customFormat="1" x14ac:dyDescent="0.2">
      <c r="A266" s="61" t="s">
        <v>243</v>
      </c>
      <c r="B266" s="96" t="s">
        <v>242</v>
      </c>
      <c r="C266" s="94" t="s">
        <v>122</v>
      </c>
      <c r="D266" s="96" t="s">
        <v>183</v>
      </c>
      <c r="E266" s="96" t="s">
        <v>184</v>
      </c>
      <c r="F266" s="138">
        <f>F267+F295</f>
        <v>72755.937200000015</v>
      </c>
      <c r="G266" s="138">
        <f>G267+G295</f>
        <v>64362.6374</v>
      </c>
      <c r="H266" s="148"/>
      <c r="I266" s="90"/>
      <c r="J266" s="90"/>
      <c r="K266" s="90"/>
      <c r="L266" s="90"/>
      <c r="M266" s="90"/>
    </row>
    <row r="267" spans="1:13" s="52" customFormat="1" ht="34.5" customHeight="1" x14ac:dyDescent="0.2">
      <c r="A267" s="61" t="s">
        <v>647</v>
      </c>
      <c r="B267" s="68" t="s">
        <v>242</v>
      </c>
      <c r="C267" s="67" t="s">
        <v>122</v>
      </c>
      <c r="D267" s="68" t="s">
        <v>245</v>
      </c>
      <c r="E267" s="68"/>
      <c r="F267" s="131">
        <f>F268</f>
        <v>72499.844000000012</v>
      </c>
      <c r="G267" s="131">
        <f>G268</f>
        <v>64111.712</v>
      </c>
      <c r="H267" s="148"/>
      <c r="I267" s="90"/>
      <c r="J267" s="90"/>
      <c r="K267" s="90"/>
      <c r="L267" s="90"/>
      <c r="M267" s="90"/>
    </row>
    <row r="268" spans="1:13" s="52" customFormat="1" ht="19.5" customHeight="1" x14ac:dyDescent="0.2">
      <c r="A268" s="83" t="s">
        <v>246</v>
      </c>
      <c r="B268" s="68" t="s">
        <v>242</v>
      </c>
      <c r="C268" s="67" t="s">
        <v>122</v>
      </c>
      <c r="D268" s="84" t="s">
        <v>247</v>
      </c>
      <c r="E268" s="84" t="s">
        <v>184</v>
      </c>
      <c r="F268" s="135">
        <f>F269+F284</f>
        <v>72499.844000000012</v>
      </c>
      <c r="G268" s="135">
        <f>G269+G284</f>
        <v>64111.712</v>
      </c>
      <c r="H268" s="148"/>
      <c r="I268" s="90"/>
      <c r="J268" s="90"/>
      <c r="K268" s="90"/>
      <c r="L268" s="90"/>
      <c r="M268" s="90"/>
    </row>
    <row r="269" spans="1:13" s="52" customFormat="1" ht="28.5" customHeight="1" x14ac:dyDescent="0.2">
      <c r="A269" s="71" t="s">
        <v>127</v>
      </c>
      <c r="B269" s="68" t="s">
        <v>242</v>
      </c>
      <c r="C269" s="67" t="s">
        <v>122</v>
      </c>
      <c r="D269" s="68" t="s">
        <v>248</v>
      </c>
      <c r="E269" s="68"/>
      <c r="F269" s="131">
        <f>F270+F274+F280+F277</f>
        <v>31959.239600000001</v>
      </c>
      <c r="G269" s="131">
        <f>G270+G274+G280+G277</f>
        <v>23310.396200000003</v>
      </c>
      <c r="H269" s="148"/>
      <c r="I269" s="90"/>
      <c r="J269" s="90"/>
      <c r="K269" s="90"/>
      <c r="L269" s="90"/>
      <c r="M269" s="90"/>
    </row>
    <row r="270" spans="1:13" s="52" customFormat="1" ht="45" x14ac:dyDescent="0.2">
      <c r="A270" s="66" t="s">
        <v>139</v>
      </c>
      <c r="B270" s="68" t="s">
        <v>242</v>
      </c>
      <c r="C270" s="67" t="s">
        <v>122</v>
      </c>
      <c r="D270" s="68" t="s">
        <v>248</v>
      </c>
      <c r="E270" s="68" t="s">
        <v>140</v>
      </c>
      <c r="F270" s="131">
        <f>F271</f>
        <v>4050.9288000000006</v>
      </c>
      <c r="G270" s="131">
        <f>G271</f>
        <v>3969.1836000000003</v>
      </c>
      <c r="H270" s="90"/>
      <c r="I270" s="90"/>
      <c r="J270" s="90"/>
      <c r="K270" s="90"/>
      <c r="L270" s="90"/>
      <c r="M270" s="90"/>
    </row>
    <row r="271" spans="1:13" s="52" customFormat="1" ht="15" customHeight="1" x14ac:dyDescent="0.2">
      <c r="A271" s="66" t="s">
        <v>141</v>
      </c>
      <c r="B271" s="68" t="s">
        <v>242</v>
      </c>
      <c r="C271" s="67" t="s">
        <v>122</v>
      </c>
      <c r="D271" s="68" t="s">
        <v>248</v>
      </c>
      <c r="E271" s="68">
        <v>110</v>
      </c>
      <c r="F271" s="131">
        <f>F272+F273</f>
        <v>4050.9288000000006</v>
      </c>
      <c r="G271" s="131">
        <f>G272+G273</f>
        <v>3969.1836000000003</v>
      </c>
      <c r="H271" s="90"/>
      <c r="I271" s="90"/>
      <c r="J271" s="90"/>
      <c r="K271" s="90"/>
      <c r="L271" s="90"/>
      <c r="M271" s="90"/>
    </row>
    <row r="272" spans="1:13" s="52" customFormat="1" ht="15" customHeight="1" x14ac:dyDescent="0.2">
      <c r="A272" s="66" t="s">
        <v>142</v>
      </c>
      <c r="B272" s="68" t="s">
        <v>242</v>
      </c>
      <c r="C272" s="67" t="s">
        <v>122</v>
      </c>
      <c r="D272" s="68" t="s">
        <v>248</v>
      </c>
      <c r="E272" s="68">
        <v>111</v>
      </c>
      <c r="F272" s="131">
        <f>'ПР 8 ведом'!G169</f>
        <v>3111.2960000000003</v>
      </c>
      <c r="G272" s="131">
        <f>'ПР 8 ведом'!H169</f>
        <v>3048.5120000000002</v>
      </c>
      <c r="H272" s="90"/>
      <c r="I272" s="90"/>
      <c r="J272" s="90"/>
      <c r="K272" s="90"/>
      <c r="L272" s="90"/>
      <c r="M272" s="90"/>
    </row>
    <row r="273" spans="1:13" s="52" customFormat="1" ht="32.25" customHeight="1" x14ac:dyDescent="0.2">
      <c r="A273" s="69" t="s">
        <v>143</v>
      </c>
      <c r="B273" s="68" t="s">
        <v>242</v>
      </c>
      <c r="C273" s="67" t="s">
        <v>122</v>
      </c>
      <c r="D273" s="68" t="s">
        <v>248</v>
      </c>
      <c r="E273" s="68">
        <v>119</v>
      </c>
      <c r="F273" s="131">
        <f>'ПР 8 ведом'!G170</f>
        <v>939.63280000000009</v>
      </c>
      <c r="G273" s="131">
        <f>'ПР 8 ведом'!H170</f>
        <v>920.67160000000024</v>
      </c>
      <c r="H273" s="90"/>
      <c r="I273" s="90"/>
      <c r="J273" s="90"/>
      <c r="K273" s="90"/>
      <c r="L273" s="90"/>
      <c r="M273" s="90"/>
    </row>
    <row r="274" spans="1:13" s="52" customFormat="1" ht="24" customHeight="1" x14ac:dyDescent="0.2">
      <c r="A274" s="66" t="s">
        <v>149</v>
      </c>
      <c r="B274" s="68" t="s">
        <v>242</v>
      </c>
      <c r="C274" s="67" t="s">
        <v>122</v>
      </c>
      <c r="D274" s="68" t="s">
        <v>248</v>
      </c>
      <c r="E274" s="68" t="s">
        <v>150</v>
      </c>
      <c r="F274" s="131">
        <f>F275</f>
        <v>1235.3308000000002</v>
      </c>
      <c r="G274" s="131">
        <f>G275</f>
        <v>1210.4026000000001</v>
      </c>
      <c r="H274" s="90"/>
      <c r="I274" s="90"/>
      <c r="J274" s="90"/>
      <c r="K274" s="90"/>
      <c r="L274" s="90"/>
      <c r="M274" s="90"/>
    </row>
    <row r="275" spans="1:13" s="52" customFormat="1" ht="21.75" customHeight="1" x14ac:dyDescent="0.2">
      <c r="A275" s="66" t="s">
        <v>151</v>
      </c>
      <c r="B275" s="68" t="s">
        <v>242</v>
      </c>
      <c r="C275" s="67" t="s">
        <v>122</v>
      </c>
      <c r="D275" s="68" t="s">
        <v>248</v>
      </c>
      <c r="E275" s="68" t="s">
        <v>152</v>
      </c>
      <c r="F275" s="131">
        <f>F276</f>
        <v>1235.3308000000002</v>
      </c>
      <c r="G275" s="131">
        <f>G276</f>
        <v>1210.4026000000001</v>
      </c>
      <c r="H275" s="90"/>
      <c r="I275" s="90"/>
      <c r="J275" s="90"/>
      <c r="K275" s="90"/>
      <c r="L275" s="90"/>
      <c r="M275" s="90"/>
    </row>
    <row r="276" spans="1:13" s="52" customFormat="1" ht="21.75" customHeight="1" x14ac:dyDescent="0.2">
      <c r="A276" s="70" t="s">
        <v>153</v>
      </c>
      <c r="B276" s="68" t="s">
        <v>242</v>
      </c>
      <c r="C276" s="67" t="s">
        <v>122</v>
      </c>
      <c r="D276" s="68" t="s">
        <v>248</v>
      </c>
      <c r="E276" s="68" t="s">
        <v>154</v>
      </c>
      <c r="F276" s="131">
        <f>'ПР 8 ведом'!G174</f>
        <v>1235.3308000000002</v>
      </c>
      <c r="G276" s="131">
        <f>'ПР 8 ведом'!H174</f>
        <v>1210.4026000000001</v>
      </c>
      <c r="H276" s="90"/>
      <c r="I276" s="90"/>
      <c r="J276" s="90"/>
      <c r="K276" s="90"/>
      <c r="L276" s="90"/>
      <c r="M276" s="90"/>
    </row>
    <row r="277" spans="1:13" s="52" customFormat="1" ht="28.5" customHeight="1" x14ac:dyDescent="0.2">
      <c r="A277" s="66" t="s">
        <v>129</v>
      </c>
      <c r="B277" s="68" t="s">
        <v>242</v>
      </c>
      <c r="C277" s="67" t="s">
        <v>122</v>
      </c>
      <c r="D277" s="218" t="s">
        <v>248</v>
      </c>
      <c r="E277" s="68" t="s">
        <v>130</v>
      </c>
      <c r="F277" s="131">
        <f>F278</f>
        <v>26615</v>
      </c>
      <c r="G277" s="131">
        <f>G278</f>
        <v>18074</v>
      </c>
      <c r="H277" s="90"/>
      <c r="I277" s="90"/>
      <c r="J277" s="90"/>
      <c r="K277" s="90"/>
      <c r="L277" s="90"/>
      <c r="M277" s="90"/>
    </row>
    <row r="278" spans="1:13" s="52" customFormat="1" ht="13.5" customHeight="1" x14ac:dyDescent="0.2">
      <c r="A278" s="66" t="s">
        <v>131</v>
      </c>
      <c r="B278" s="68" t="s">
        <v>242</v>
      </c>
      <c r="C278" s="67" t="s">
        <v>122</v>
      </c>
      <c r="D278" s="218" t="s">
        <v>248</v>
      </c>
      <c r="E278" s="68" t="s">
        <v>132</v>
      </c>
      <c r="F278" s="131">
        <f>F279</f>
        <v>26615</v>
      </c>
      <c r="G278" s="131">
        <f>G279</f>
        <v>18074</v>
      </c>
      <c r="H278" s="90"/>
      <c r="I278" s="90"/>
      <c r="J278" s="90"/>
      <c r="K278" s="90"/>
      <c r="L278" s="90"/>
      <c r="M278" s="90"/>
    </row>
    <row r="279" spans="1:13" s="52" customFormat="1" ht="35.25" customHeight="1" x14ac:dyDescent="0.2">
      <c r="A279" s="66" t="s">
        <v>133</v>
      </c>
      <c r="B279" s="68" t="s">
        <v>242</v>
      </c>
      <c r="C279" s="67" t="s">
        <v>122</v>
      </c>
      <c r="D279" s="218" t="s">
        <v>248</v>
      </c>
      <c r="E279" s="68" t="s">
        <v>134</v>
      </c>
      <c r="F279" s="131">
        <f>'ПР 8 ведом'!G177</f>
        <v>26615</v>
      </c>
      <c r="G279" s="131">
        <f>'ПР 8 ведом'!H177</f>
        <v>18074</v>
      </c>
      <c r="H279" s="90"/>
      <c r="I279" s="90"/>
      <c r="J279" s="90"/>
      <c r="K279" s="90"/>
      <c r="L279" s="90"/>
      <c r="M279" s="90"/>
    </row>
    <row r="280" spans="1:13" s="52" customFormat="1" ht="13.5" customHeight="1" x14ac:dyDescent="0.2">
      <c r="A280" s="70" t="s">
        <v>172</v>
      </c>
      <c r="B280" s="68" t="s">
        <v>242</v>
      </c>
      <c r="C280" s="67" t="s">
        <v>254</v>
      </c>
      <c r="D280" s="68" t="s">
        <v>257</v>
      </c>
      <c r="E280" s="68" t="s">
        <v>235</v>
      </c>
      <c r="F280" s="131">
        <f>F281</f>
        <v>57.980000000000004</v>
      </c>
      <c r="G280" s="131">
        <f>G281</f>
        <v>56.810000000000009</v>
      </c>
      <c r="H280" s="90"/>
      <c r="I280" s="90"/>
      <c r="J280" s="90"/>
      <c r="K280" s="90"/>
      <c r="L280" s="90"/>
      <c r="M280" s="90"/>
    </row>
    <row r="281" spans="1:13" s="52" customFormat="1" ht="13.5" customHeight="1" x14ac:dyDescent="0.2">
      <c r="A281" s="70" t="s">
        <v>173</v>
      </c>
      <c r="B281" s="68" t="s">
        <v>242</v>
      </c>
      <c r="C281" s="67" t="s">
        <v>254</v>
      </c>
      <c r="D281" s="68" t="s">
        <v>257</v>
      </c>
      <c r="E281" s="68" t="s">
        <v>174</v>
      </c>
      <c r="F281" s="131">
        <f>F282+F283</f>
        <v>57.980000000000004</v>
      </c>
      <c r="G281" s="131">
        <f>G282+G283</f>
        <v>56.810000000000009</v>
      </c>
      <c r="H281" s="90"/>
      <c r="I281" s="90"/>
      <c r="J281" s="90"/>
      <c r="K281" s="90"/>
      <c r="L281" s="90"/>
      <c r="M281" s="90"/>
    </row>
    <row r="282" spans="1:13" s="52" customFormat="1" ht="13.5" customHeight="1" x14ac:dyDescent="0.2">
      <c r="A282" s="75" t="s">
        <v>175</v>
      </c>
      <c r="B282" s="68" t="s">
        <v>242</v>
      </c>
      <c r="C282" s="67" t="s">
        <v>254</v>
      </c>
      <c r="D282" s="68" t="s">
        <v>257</v>
      </c>
      <c r="E282" s="68" t="s">
        <v>176</v>
      </c>
      <c r="F282" s="131">
        <f>'ПР 8 ведом'!G180</f>
        <v>11.596</v>
      </c>
      <c r="G282" s="131">
        <f>'ПР 8 ведом'!H180</f>
        <v>11.362000000000002</v>
      </c>
      <c r="H282" s="90"/>
      <c r="I282" s="90"/>
      <c r="J282" s="90"/>
      <c r="K282" s="90"/>
      <c r="L282" s="90"/>
      <c r="M282" s="90"/>
    </row>
    <row r="283" spans="1:13" s="52" customFormat="1" ht="13.5" customHeight="1" x14ac:dyDescent="0.2">
      <c r="A283" s="70" t="s">
        <v>564</v>
      </c>
      <c r="B283" s="68" t="s">
        <v>242</v>
      </c>
      <c r="C283" s="67" t="s">
        <v>254</v>
      </c>
      <c r="D283" s="68" t="s">
        <v>257</v>
      </c>
      <c r="E283" s="68">
        <v>853</v>
      </c>
      <c r="F283" s="131">
        <f>'ПР 8 ведом'!G181</f>
        <v>46.384</v>
      </c>
      <c r="G283" s="131">
        <f>'ПР 8 ведом'!H181</f>
        <v>45.448000000000008</v>
      </c>
      <c r="H283" s="90"/>
      <c r="I283" s="90"/>
      <c r="J283" s="90"/>
      <c r="K283" s="90"/>
      <c r="L283" s="90"/>
      <c r="M283" s="90"/>
    </row>
    <row r="284" spans="1:13" s="52" customFormat="1" ht="67.5" x14ac:dyDescent="0.2">
      <c r="A284" s="83" t="s">
        <v>74</v>
      </c>
      <c r="B284" s="68" t="s">
        <v>242</v>
      </c>
      <c r="C284" s="67" t="s">
        <v>122</v>
      </c>
      <c r="D284" s="68" t="s">
        <v>249</v>
      </c>
      <c r="E284" s="84" t="s">
        <v>184</v>
      </c>
      <c r="F284" s="135">
        <f>F285+F289+F292</f>
        <v>40540.604400000004</v>
      </c>
      <c r="G284" s="135">
        <f>G285+G289+G292</f>
        <v>40801.315799999997</v>
      </c>
      <c r="H284" s="90"/>
      <c r="I284" s="90"/>
      <c r="J284" s="90"/>
      <c r="K284" s="90"/>
      <c r="L284" s="90"/>
      <c r="M284" s="90"/>
    </row>
    <row r="285" spans="1:13" s="52" customFormat="1" ht="45" x14ac:dyDescent="0.2">
      <c r="A285" s="66" t="s">
        <v>139</v>
      </c>
      <c r="B285" s="68" t="s">
        <v>242</v>
      </c>
      <c r="C285" s="67" t="s">
        <v>122</v>
      </c>
      <c r="D285" s="68" t="s">
        <v>249</v>
      </c>
      <c r="E285" s="68" t="s">
        <v>140</v>
      </c>
      <c r="F285" s="131">
        <f>F286</f>
        <v>6479.3044</v>
      </c>
      <c r="G285" s="131">
        <f>G286</f>
        <v>5809.2158000000009</v>
      </c>
      <c r="H285" s="90"/>
      <c r="I285" s="90"/>
      <c r="J285" s="90"/>
      <c r="K285" s="90"/>
      <c r="L285" s="90"/>
      <c r="M285" s="90"/>
    </row>
    <row r="286" spans="1:13" s="52" customFormat="1" ht="13.5" customHeight="1" x14ac:dyDescent="0.2">
      <c r="A286" s="66" t="s">
        <v>141</v>
      </c>
      <c r="B286" s="68" t="s">
        <v>242</v>
      </c>
      <c r="C286" s="67" t="s">
        <v>122</v>
      </c>
      <c r="D286" s="68" t="s">
        <v>249</v>
      </c>
      <c r="E286" s="68">
        <v>110</v>
      </c>
      <c r="F286" s="131">
        <f>F287+F288</f>
        <v>6479.3044</v>
      </c>
      <c r="G286" s="131">
        <f>G287+G288</f>
        <v>5809.2158000000009</v>
      </c>
      <c r="H286" s="90"/>
      <c r="I286" s="90"/>
      <c r="J286" s="90"/>
      <c r="K286" s="90"/>
      <c r="L286" s="90"/>
      <c r="M286" s="90"/>
    </row>
    <row r="287" spans="1:13" s="52" customFormat="1" ht="13.5" customHeight="1" x14ac:dyDescent="0.2">
      <c r="A287" s="66" t="s">
        <v>142</v>
      </c>
      <c r="B287" s="68" t="s">
        <v>242</v>
      </c>
      <c r="C287" s="67" t="s">
        <v>122</v>
      </c>
      <c r="D287" s="68" t="s">
        <v>249</v>
      </c>
      <c r="E287" s="68">
        <v>111</v>
      </c>
      <c r="F287" s="131">
        <f>'ПР 8 ведом'!G185</f>
        <v>5104.1080000000002</v>
      </c>
      <c r="G287" s="131">
        <f>'ПР 8 ведом'!H185</f>
        <v>4461.7700000000004</v>
      </c>
      <c r="H287" s="90"/>
      <c r="I287" s="90"/>
      <c r="J287" s="90"/>
      <c r="K287" s="90"/>
      <c r="L287" s="90"/>
      <c r="M287" s="90"/>
    </row>
    <row r="288" spans="1:13" s="52" customFormat="1" ht="34.5" customHeight="1" x14ac:dyDescent="0.2">
      <c r="A288" s="69" t="s">
        <v>143</v>
      </c>
      <c r="B288" s="68" t="s">
        <v>242</v>
      </c>
      <c r="C288" s="67" t="s">
        <v>122</v>
      </c>
      <c r="D288" s="68" t="s">
        <v>249</v>
      </c>
      <c r="E288" s="68">
        <v>119</v>
      </c>
      <c r="F288" s="131">
        <f>'ПР 8 ведом'!G186</f>
        <v>1375.1964</v>
      </c>
      <c r="G288" s="131">
        <f>'ПР 8 ведом'!H186</f>
        <v>1347.4458000000002</v>
      </c>
      <c r="H288" s="90"/>
      <c r="I288" s="90"/>
      <c r="J288" s="90"/>
      <c r="K288" s="90"/>
      <c r="L288" s="90"/>
      <c r="M288" s="90"/>
    </row>
    <row r="289" spans="1:13" s="52" customFormat="1" ht="24" customHeight="1" x14ac:dyDescent="0.2">
      <c r="A289" s="66" t="s">
        <v>149</v>
      </c>
      <c r="B289" s="68" t="s">
        <v>242</v>
      </c>
      <c r="C289" s="67" t="s">
        <v>122</v>
      </c>
      <c r="D289" s="68" t="s">
        <v>249</v>
      </c>
      <c r="E289" s="68" t="s">
        <v>150</v>
      </c>
      <c r="F289" s="131">
        <f>F290</f>
        <v>50</v>
      </c>
      <c r="G289" s="131">
        <f>G290</f>
        <v>50</v>
      </c>
      <c r="H289" s="90"/>
      <c r="I289" s="90"/>
      <c r="J289" s="90"/>
      <c r="K289" s="90"/>
      <c r="L289" s="90"/>
      <c r="M289" s="90"/>
    </row>
    <row r="290" spans="1:13" s="52" customFormat="1" ht="24" customHeight="1" x14ac:dyDescent="0.2">
      <c r="A290" s="66" t="s">
        <v>151</v>
      </c>
      <c r="B290" s="68" t="s">
        <v>242</v>
      </c>
      <c r="C290" s="67" t="s">
        <v>122</v>
      </c>
      <c r="D290" s="68" t="s">
        <v>249</v>
      </c>
      <c r="E290" s="68" t="s">
        <v>152</v>
      </c>
      <c r="F290" s="131">
        <f>F291</f>
        <v>50</v>
      </c>
      <c r="G290" s="131">
        <f>G291</f>
        <v>50</v>
      </c>
      <c r="H290" s="90"/>
      <c r="I290" s="90"/>
      <c r="J290" s="90"/>
      <c r="K290" s="90"/>
      <c r="L290" s="90"/>
      <c r="M290" s="90"/>
    </row>
    <row r="291" spans="1:13" s="52" customFormat="1" ht="24" customHeight="1" x14ac:dyDescent="0.2">
      <c r="A291" s="70" t="s">
        <v>153</v>
      </c>
      <c r="B291" s="68" t="s">
        <v>242</v>
      </c>
      <c r="C291" s="67" t="s">
        <v>122</v>
      </c>
      <c r="D291" s="68" t="s">
        <v>249</v>
      </c>
      <c r="E291" s="68" t="s">
        <v>154</v>
      </c>
      <c r="F291" s="131">
        <f>'ПР 8 ведом'!G189</f>
        <v>50</v>
      </c>
      <c r="G291" s="131">
        <f>'ПР 8 ведом'!H189</f>
        <v>50</v>
      </c>
      <c r="H291" s="90"/>
      <c r="I291" s="90"/>
      <c r="J291" s="90"/>
      <c r="K291" s="90"/>
      <c r="L291" s="90"/>
      <c r="M291" s="90"/>
    </row>
    <row r="292" spans="1:13" s="52" customFormat="1" ht="36.75" customHeight="1" x14ac:dyDescent="0.2">
      <c r="A292" s="66" t="s">
        <v>129</v>
      </c>
      <c r="B292" s="68" t="s">
        <v>242</v>
      </c>
      <c r="C292" s="67" t="s">
        <v>122</v>
      </c>
      <c r="D292" s="68" t="s">
        <v>249</v>
      </c>
      <c r="E292" s="68" t="s">
        <v>130</v>
      </c>
      <c r="F292" s="131">
        <f>F293</f>
        <v>34011.300000000003</v>
      </c>
      <c r="G292" s="131">
        <f>G293</f>
        <v>34942.1</v>
      </c>
      <c r="H292" s="90"/>
      <c r="I292" s="90"/>
      <c r="J292" s="90"/>
      <c r="K292" s="90"/>
      <c r="L292" s="90"/>
      <c r="M292" s="90"/>
    </row>
    <row r="293" spans="1:13" s="52" customFormat="1" ht="13.5" customHeight="1" x14ac:dyDescent="0.2">
      <c r="A293" s="66" t="s">
        <v>131</v>
      </c>
      <c r="B293" s="68" t="s">
        <v>242</v>
      </c>
      <c r="C293" s="67" t="s">
        <v>122</v>
      </c>
      <c r="D293" s="68" t="s">
        <v>249</v>
      </c>
      <c r="E293" s="68" t="s">
        <v>132</v>
      </c>
      <c r="F293" s="131">
        <f>F294</f>
        <v>34011.300000000003</v>
      </c>
      <c r="G293" s="131">
        <f>G294</f>
        <v>34942.1</v>
      </c>
      <c r="H293" s="90"/>
      <c r="I293" s="90"/>
      <c r="J293" s="90"/>
      <c r="K293" s="90"/>
      <c r="L293" s="90"/>
      <c r="M293" s="90"/>
    </row>
    <row r="294" spans="1:13" s="52" customFormat="1" ht="33" customHeight="1" x14ac:dyDescent="0.2">
      <c r="A294" s="66" t="s">
        <v>133</v>
      </c>
      <c r="B294" s="68" t="s">
        <v>242</v>
      </c>
      <c r="C294" s="67" t="s">
        <v>122</v>
      </c>
      <c r="D294" s="68" t="s">
        <v>249</v>
      </c>
      <c r="E294" s="68" t="s">
        <v>134</v>
      </c>
      <c r="F294" s="131">
        <f>'ПР 8 ведом'!G192</f>
        <v>34011.300000000003</v>
      </c>
      <c r="G294" s="131">
        <f>'ПР 8 ведом'!H192</f>
        <v>34942.1</v>
      </c>
      <c r="H294" s="90"/>
      <c r="I294" s="90"/>
      <c r="J294" s="90"/>
      <c r="K294" s="90"/>
      <c r="L294" s="90"/>
      <c r="M294" s="90"/>
    </row>
    <row r="295" spans="1:13" s="52" customFormat="1" ht="33" customHeight="1" x14ac:dyDescent="0.2">
      <c r="A295" s="66" t="s">
        <v>250</v>
      </c>
      <c r="B295" s="68" t="s">
        <v>242</v>
      </c>
      <c r="C295" s="67" t="s">
        <v>122</v>
      </c>
      <c r="D295" s="68" t="s">
        <v>251</v>
      </c>
      <c r="E295" s="68"/>
      <c r="F295" s="131">
        <f>F296</f>
        <v>256.09320000000002</v>
      </c>
      <c r="G295" s="131">
        <f>G296</f>
        <v>250.92540000000005</v>
      </c>
      <c r="H295" s="90"/>
      <c r="I295" s="90"/>
      <c r="J295" s="90"/>
      <c r="K295" s="90"/>
      <c r="L295" s="90"/>
      <c r="M295" s="90"/>
    </row>
    <row r="296" spans="1:13" s="52" customFormat="1" ht="33" customHeight="1" x14ac:dyDescent="0.2">
      <c r="A296" s="85" t="s">
        <v>83</v>
      </c>
      <c r="B296" s="68" t="s">
        <v>242</v>
      </c>
      <c r="C296" s="67" t="s">
        <v>122</v>
      </c>
      <c r="D296" s="68" t="s">
        <v>252</v>
      </c>
      <c r="E296" s="68"/>
      <c r="F296" s="131">
        <f>F297+F300</f>
        <v>256.09320000000002</v>
      </c>
      <c r="G296" s="131">
        <f>G297+G300</f>
        <v>250.92540000000005</v>
      </c>
      <c r="H296" s="90"/>
      <c r="I296" s="90"/>
      <c r="J296" s="90"/>
      <c r="K296" s="90"/>
      <c r="L296" s="90"/>
      <c r="M296" s="90"/>
    </row>
    <row r="297" spans="1:13" s="52" customFormat="1" ht="33" customHeight="1" x14ac:dyDescent="0.2">
      <c r="A297" s="66" t="s">
        <v>139</v>
      </c>
      <c r="B297" s="68" t="s">
        <v>242</v>
      </c>
      <c r="C297" s="67" t="s">
        <v>122</v>
      </c>
      <c r="D297" s="68" t="s">
        <v>252</v>
      </c>
      <c r="E297" s="68">
        <v>100</v>
      </c>
      <c r="F297" s="131">
        <f>F299</f>
        <v>32.379599999999996</v>
      </c>
      <c r="G297" s="131">
        <f>G299</f>
        <v>31.726200000000002</v>
      </c>
      <c r="H297" s="90"/>
      <c r="I297" s="90"/>
      <c r="J297" s="90"/>
      <c r="K297" s="90"/>
      <c r="L297" s="90"/>
      <c r="M297" s="90"/>
    </row>
    <row r="298" spans="1:13" s="52" customFormat="1" x14ac:dyDescent="0.2">
      <c r="A298" s="66" t="s">
        <v>141</v>
      </c>
      <c r="B298" s="68" t="s">
        <v>242</v>
      </c>
      <c r="C298" s="67" t="s">
        <v>122</v>
      </c>
      <c r="D298" s="68" t="s">
        <v>252</v>
      </c>
      <c r="E298" s="68">
        <v>110</v>
      </c>
      <c r="F298" s="131">
        <f>F299</f>
        <v>32.379599999999996</v>
      </c>
      <c r="G298" s="131">
        <f>G299</f>
        <v>31.726200000000002</v>
      </c>
      <c r="H298" s="90"/>
      <c r="I298" s="90"/>
      <c r="J298" s="90"/>
      <c r="K298" s="90"/>
      <c r="L298" s="90"/>
      <c r="M298" s="90"/>
    </row>
    <row r="299" spans="1:13" s="52" customFormat="1" ht="22.5" x14ac:dyDescent="0.2">
      <c r="A299" s="70" t="s">
        <v>148</v>
      </c>
      <c r="B299" s="68" t="s">
        <v>242</v>
      </c>
      <c r="C299" s="67" t="s">
        <v>122</v>
      </c>
      <c r="D299" s="68" t="s">
        <v>252</v>
      </c>
      <c r="E299" s="68">
        <v>112</v>
      </c>
      <c r="F299" s="131">
        <f>'ПР 8 ведом'!G197</f>
        <v>32.379599999999996</v>
      </c>
      <c r="G299" s="131">
        <f>'ПР 8 ведом'!H197</f>
        <v>31.726200000000002</v>
      </c>
      <c r="H299" s="90"/>
      <c r="I299" s="90"/>
      <c r="J299" s="90"/>
      <c r="K299" s="90"/>
      <c r="L299" s="90"/>
      <c r="M299" s="90"/>
    </row>
    <row r="300" spans="1:13" s="52" customFormat="1" ht="22.5" x14ac:dyDescent="0.2">
      <c r="A300" s="66" t="s">
        <v>129</v>
      </c>
      <c r="B300" s="68" t="s">
        <v>242</v>
      </c>
      <c r="C300" s="67" t="s">
        <v>122</v>
      </c>
      <c r="D300" s="68" t="s">
        <v>252</v>
      </c>
      <c r="E300" s="68">
        <v>600</v>
      </c>
      <c r="F300" s="131">
        <f>F302</f>
        <v>223.71360000000001</v>
      </c>
      <c r="G300" s="131">
        <f>G302</f>
        <v>219.19920000000005</v>
      </c>
      <c r="H300" s="90"/>
      <c r="I300" s="90"/>
      <c r="J300" s="90"/>
      <c r="K300" s="90"/>
      <c r="L300" s="90"/>
      <c r="M300" s="90"/>
    </row>
    <row r="301" spans="1:13" s="52" customFormat="1" x14ac:dyDescent="0.2">
      <c r="A301" s="66" t="s">
        <v>131</v>
      </c>
      <c r="B301" s="68" t="s">
        <v>242</v>
      </c>
      <c r="C301" s="67" t="s">
        <v>122</v>
      </c>
      <c r="D301" s="68" t="s">
        <v>252</v>
      </c>
      <c r="E301" s="68">
        <v>610</v>
      </c>
      <c r="F301" s="131">
        <f>F302</f>
        <v>223.71360000000001</v>
      </c>
      <c r="G301" s="131">
        <f>G302</f>
        <v>219.19920000000005</v>
      </c>
      <c r="H301" s="90"/>
      <c r="I301" s="90"/>
      <c r="J301" s="90"/>
      <c r="K301" s="90"/>
      <c r="L301" s="90"/>
      <c r="M301" s="90"/>
    </row>
    <row r="302" spans="1:13" s="52" customFormat="1" ht="45" x14ac:dyDescent="0.2">
      <c r="A302" s="66" t="s">
        <v>133</v>
      </c>
      <c r="B302" s="68" t="s">
        <v>242</v>
      </c>
      <c r="C302" s="67" t="s">
        <v>122</v>
      </c>
      <c r="D302" s="68" t="s">
        <v>252</v>
      </c>
      <c r="E302" s="68">
        <v>611</v>
      </c>
      <c r="F302" s="131">
        <f>'ПР 8 ведом'!G200</f>
        <v>223.71360000000001</v>
      </c>
      <c r="G302" s="131">
        <f>'ПР 8 ведом'!H200</f>
        <v>219.19920000000005</v>
      </c>
      <c r="H302" s="90"/>
      <c r="I302" s="90"/>
      <c r="J302" s="90"/>
      <c r="K302" s="90"/>
      <c r="L302" s="90"/>
      <c r="M302" s="90"/>
    </row>
    <row r="303" spans="1:13" s="283" customFormat="1" x14ac:dyDescent="0.2">
      <c r="A303" s="61" t="s">
        <v>253</v>
      </c>
      <c r="B303" s="96" t="s">
        <v>242</v>
      </c>
      <c r="C303" s="94" t="s">
        <v>254</v>
      </c>
      <c r="D303" s="96" t="s">
        <v>183</v>
      </c>
      <c r="E303" s="96" t="s">
        <v>184</v>
      </c>
      <c r="F303" s="138">
        <f>F304+F336</f>
        <v>174306.49879999994</v>
      </c>
      <c r="G303" s="138">
        <f>G304+G336</f>
        <v>175027.59859999997</v>
      </c>
      <c r="H303" s="281"/>
      <c r="I303" s="282"/>
      <c r="J303" s="282"/>
      <c r="K303" s="282"/>
      <c r="L303" s="282"/>
      <c r="M303" s="282"/>
    </row>
    <row r="304" spans="1:13" s="86" customFormat="1" ht="12.75" customHeight="1" x14ac:dyDescent="0.2">
      <c r="A304" s="83" t="s">
        <v>255</v>
      </c>
      <c r="B304" s="68" t="s">
        <v>242</v>
      </c>
      <c r="C304" s="67" t="s">
        <v>254</v>
      </c>
      <c r="D304" s="68" t="s">
        <v>256</v>
      </c>
      <c r="E304" s="84" t="s">
        <v>184</v>
      </c>
      <c r="F304" s="135">
        <f>F319+F305+F332</f>
        <v>173395.96279999995</v>
      </c>
      <c r="G304" s="135">
        <f>G319+G305+G332</f>
        <v>174132.50659999996</v>
      </c>
      <c r="H304" s="153"/>
      <c r="I304" s="153"/>
      <c r="J304" s="153"/>
      <c r="K304" s="153"/>
      <c r="L304" s="153"/>
      <c r="M304" s="153"/>
    </row>
    <row r="305" spans="1:13" s="86" customFormat="1" ht="12.75" customHeight="1" x14ac:dyDescent="0.2">
      <c r="A305" s="71" t="s">
        <v>127</v>
      </c>
      <c r="B305" s="68" t="s">
        <v>242</v>
      </c>
      <c r="C305" s="67" t="s">
        <v>254</v>
      </c>
      <c r="D305" s="68" t="s">
        <v>257</v>
      </c>
      <c r="E305" s="84"/>
      <c r="F305" s="135">
        <f>F306+F315+F310</f>
        <v>14220.5316</v>
      </c>
      <c r="G305" s="135">
        <f>G306+G315+G310</f>
        <v>13933.5702</v>
      </c>
      <c r="H305" s="153"/>
      <c r="I305" s="153"/>
      <c r="J305" s="153"/>
      <c r="K305" s="153"/>
      <c r="L305" s="153"/>
      <c r="M305" s="153"/>
    </row>
    <row r="306" spans="1:13" s="52" customFormat="1" ht="24.75" customHeight="1" x14ac:dyDescent="0.2">
      <c r="A306" s="66" t="s">
        <v>149</v>
      </c>
      <c r="B306" s="68" t="s">
        <v>242</v>
      </c>
      <c r="C306" s="67" t="s">
        <v>254</v>
      </c>
      <c r="D306" s="68" t="s">
        <v>257</v>
      </c>
      <c r="E306" s="68" t="s">
        <v>150</v>
      </c>
      <c r="F306" s="131">
        <f>SUM(F307)</f>
        <v>1574.4691999999998</v>
      </c>
      <c r="G306" s="131">
        <f>SUM(G307)</f>
        <v>1542.6974000000002</v>
      </c>
      <c r="H306" s="90"/>
      <c r="I306" s="90"/>
      <c r="J306" s="90"/>
      <c r="K306" s="90"/>
      <c r="L306" s="90"/>
      <c r="M306" s="90"/>
    </row>
    <row r="307" spans="1:13" s="52" customFormat="1" ht="24.75" customHeight="1" x14ac:dyDescent="0.2">
      <c r="A307" s="66" t="s">
        <v>151</v>
      </c>
      <c r="B307" s="68" t="s">
        <v>242</v>
      </c>
      <c r="C307" s="67" t="s">
        <v>254</v>
      </c>
      <c r="D307" s="68" t="s">
        <v>257</v>
      </c>
      <c r="E307" s="68" t="s">
        <v>152</v>
      </c>
      <c r="F307" s="131">
        <f>SUM(F308:F309)</f>
        <v>1574.4691999999998</v>
      </c>
      <c r="G307" s="131">
        <f>SUM(G308:G309)</f>
        <v>1542.6974000000002</v>
      </c>
      <c r="H307" s="90"/>
      <c r="I307" s="90"/>
      <c r="J307" s="90"/>
      <c r="K307" s="90"/>
      <c r="L307" s="90"/>
      <c r="M307" s="90"/>
    </row>
    <row r="308" spans="1:13" s="52" customFormat="1" ht="24.75" customHeight="1" x14ac:dyDescent="0.2">
      <c r="A308" s="115" t="s">
        <v>171</v>
      </c>
      <c r="B308" s="68" t="s">
        <v>242</v>
      </c>
      <c r="C308" s="67" t="s">
        <v>254</v>
      </c>
      <c r="D308" s="68" t="s">
        <v>257</v>
      </c>
      <c r="E308" s="68">
        <v>242</v>
      </c>
      <c r="F308" s="131">
        <f>'ПР 8 ведом'!G206</f>
        <v>17.84</v>
      </c>
      <c r="G308" s="131">
        <f>'ПР 8 ведом'!H206</f>
        <v>17.480000000000004</v>
      </c>
      <c r="H308" s="90"/>
      <c r="I308" s="90"/>
      <c r="J308" s="90"/>
      <c r="K308" s="90"/>
      <c r="L308" s="90"/>
      <c r="M308" s="90"/>
    </row>
    <row r="309" spans="1:13" s="52" customFormat="1" ht="24.75" customHeight="1" x14ac:dyDescent="0.2">
      <c r="A309" s="70" t="s">
        <v>153</v>
      </c>
      <c r="B309" s="68" t="s">
        <v>242</v>
      </c>
      <c r="C309" s="67" t="s">
        <v>254</v>
      </c>
      <c r="D309" s="68" t="s">
        <v>257</v>
      </c>
      <c r="E309" s="68">
        <v>244</v>
      </c>
      <c r="F309" s="131">
        <f>'ПР 8 ведом'!G207</f>
        <v>1556.6291999999999</v>
      </c>
      <c r="G309" s="131">
        <f>'ПР 8 ведом'!H207</f>
        <v>1525.2174000000002</v>
      </c>
      <c r="H309" s="90"/>
      <c r="I309" s="90"/>
      <c r="J309" s="90"/>
      <c r="K309" s="90"/>
      <c r="L309" s="90"/>
      <c r="M309" s="90"/>
    </row>
    <row r="310" spans="1:13" s="52" customFormat="1" ht="32.25" customHeight="1" x14ac:dyDescent="0.2">
      <c r="A310" s="66" t="s">
        <v>129</v>
      </c>
      <c r="B310" s="68" t="s">
        <v>242</v>
      </c>
      <c r="C310" s="68" t="s">
        <v>254</v>
      </c>
      <c r="D310" s="218" t="s">
        <v>257</v>
      </c>
      <c r="E310" s="68" t="s">
        <v>130</v>
      </c>
      <c r="F310" s="131">
        <f>F311+F313</f>
        <v>12601.4624</v>
      </c>
      <c r="G310" s="131">
        <f>G311+G313</f>
        <v>12347.1728</v>
      </c>
      <c r="H310" s="90"/>
      <c r="I310" s="90"/>
      <c r="J310" s="90"/>
      <c r="K310" s="90"/>
      <c r="L310" s="90"/>
      <c r="M310" s="90"/>
    </row>
    <row r="311" spans="1:13" s="52" customFormat="1" ht="15" customHeight="1" x14ac:dyDescent="0.2">
      <c r="A311" s="66" t="s">
        <v>131</v>
      </c>
      <c r="B311" s="68" t="s">
        <v>242</v>
      </c>
      <c r="C311" s="68" t="s">
        <v>254</v>
      </c>
      <c r="D311" s="218" t="s">
        <v>257</v>
      </c>
      <c r="E311" s="68" t="s">
        <v>132</v>
      </c>
      <c r="F311" s="131">
        <f>F312</f>
        <v>11218.683999999999</v>
      </c>
      <c r="G311" s="131">
        <f>G312</f>
        <v>10992.298000000001</v>
      </c>
      <c r="H311" s="90"/>
      <c r="I311" s="90"/>
      <c r="J311" s="90"/>
      <c r="K311" s="90"/>
      <c r="L311" s="90"/>
      <c r="M311" s="90"/>
    </row>
    <row r="312" spans="1:13" s="52" customFormat="1" ht="34.5" customHeight="1" x14ac:dyDescent="0.2">
      <c r="A312" s="66" t="s">
        <v>133</v>
      </c>
      <c r="B312" s="68" t="s">
        <v>242</v>
      </c>
      <c r="C312" s="68" t="s">
        <v>254</v>
      </c>
      <c r="D312" s="218" t="s">
        <v>257</v>
      </c>
      <c r="E312" s="68" t="s">
        <v>134</v>
      </c>
      <c r="F312" s="131">
        <f>'ПР 8 ведом'!G210</f>
        <v>11218.683999999999</v>
      </c>
      <c r="G312" s="131">
        <f>'ПР 8 ведом'!H210</f>
        <v>10992.298000000001</v>
      </c>
      <c r="H312" s="90"/>
      <c r="I312" s="90"/>
      <c r="J312" s="90"/>
      <c r="K312" s="90"/>
      <c r="L312" s="90"/>
      <c r="M312" s="90"/>
    </row>
    <row r="313" spans="1:13" s="52" customFormat="1" ht="11.25" customHeight="1" x14ac:dyDescent="0.2">
      <c r="A313" s="66" t="s">
        <v>444</v>
      </c>
      <c r="B313" s="68" t="s">
        <v>242</v>
      </c>
      <c r="C313" s="68" t="s">
        <v>254</v>
      </c>
      <c r="D313" s="218" t="s">
        <v>257</v>
      </c>
      <c r="E313" s="68">
        <v>620</v>
      </c>
      <c r="F313" s="131">
        <f>F314</f>
        <v>1382.7784000000001</v>
      </c>
      <c r="G313" s="131">
        <f>G314</f>
        <v>1354.8748000000003</v>
      </c>
      <c r="H313" s="90"/>
      <c r="I313" s="90"/>
      <c r="J313" s="90"/>
      <c r="K313" s="90"/>
      <c r="L313" s="90"/>
      <c r="M313" s="90"/>
    </row>
    <row r="314" spans="1:13" s="52" customFormat="1" ht="34.5" customHeight="1" x14ac:dyDescent="0.2">
      <c r="A314" s="66" t="s">
        <v>445</v>
      </c>
      <c r="B314" s="68" t="s">
        <v>242</v>
      </c>
      <c r="C314" s="68" t="s">
        <v>254</v>
      </c>
      <c r="D314" s="218" t="s">
        <v>257</v>
      </c>
      <c r="E314" s="68">
        <v>621</v>
      </c>
      <c r="F314" s="131">
        <f>'ПР 8 ведом'!G212</f>
        <v>1382.7784000000001</v>
      </c>
      <c r="G314" s="131">
        <f>'ПР 8 ведом'!H212</f>
        <v>1354.8748000000003</v>
      </c>
      <c r="H314" s="90"/>
      <c r="I314" s="90"/>
      <c r="J314" s="90"/>
      <c r="K314" s="90"/>
      <c r="L314" s="90"/>
      <c r="M314" s="90"/>
    </row>
    <row r="315" spans="1:13" s="52" customFormat="1" ht="12" customHeight="1" x14ac:dyDescent="0.2">
      <c r="A315" s="70" t="s">
        <v>172</v>
      </c>
      <c r="B315" s="68" t="s">
        <v>242</v>
      </c>
      <c r="C315" s="67" t="s">
        <v>254</v>
      </c>
      <c r="D315" s="68" t="s">
        <v>257</v>
      </c>
      <c r="E315" s="68" t="s">
        <v>235</v>
      </c>
      <c r="F315" s="131">
        <f>SUM(F316)</f>
        <v>44.599999999999994</v>
      </c>
      <c r="G315" s="131">
        <f>SUM(G316)</f>
        <v>43.7</v>
      </c>
      <c r="H315" s="90"/>
      <c r="I315" s="90"/>
      <c r="J315" s="90"/>
      <c r="K315" s="90"/>
      <c r="L315" s="90"/>
      <c r="M315" s="90"/>
    </row>
    <row r="316" spans="1:13" s="52" customFormat="1" ht="12" customHeight="1" x14ac:dyDescent="0.2">
      <c r="A316" s="70" t="s">
        <v>173</v>
      </c>
      <c r="B316" s="68" t="s">
        <v>242</v>
      </c>
      <c r="C316" s="67" t="s">
        <v>254</v>
      </c>
      <c r="D316" s="68" t="s">
        <v>257</v>
      </c>
      <c r="E316" s="68" t="s">
        <v>174</v>
      </c>
      <c r="F316" s="131">
        <f>SUM(F317:F318)</f>
        <v>44.599999999999994</v>
      </c>
      <c r="G316" s="131">
        <f>SUM(G317:G318)</f>
        <v>43.7</v>
      </c>
      <c r="H316" s="90"/>
      <c r="I316" s="90"/>
      <c r="J316" s="90"/>
      <c r="K316" s="90"/>
      <c r="L316" s="90"/>
      <c r="M316" s="90"/>
    </row>
    <row r="317" spans="1:13" s="52" customFormat="1" ht="12" customHeight="1" x14ac:dyDescent="0.2">
      <c r="A317" s="75" t="s">
        <v>175</v>
      </c>
      <c r="B317" s="68" t="s">
        <v>242</v>
      </c>
      <c r="C317" s="67" t="s">
        <v>254</v>
      </c>
      <c r="D317" s="68" t="s">
        <v>257</v>
      </c>
      <c r="E317" s="68" t="s">
        <v>176</v>
      </c>
      <c r="F317" s="131">
        <f>'ПР 8 ведом'!G215</f>
        <v>19.623999999999999</v>
      </c>
      <c r="G317" s="131">
        <f>'ПР 8 ведом'!H215</f>
        <v>19.228000000000002</v>
      </c>
      <c r="H317" s="90"/>
      <c r="I317" s="90"/>
      <c r="J317" s="90"/>
      <c r="K317" s="90"/>
      <c r="L317" s="90"/>
      <c r="M317" s="90"/>
    </row>
    <row r="318" spans="1:13" s="52" customFormat="1" ht="21" customHeight="1" x14ac:dyDescent="0.2">
      <c r="A318" s="70" t="s">
        <v>564</v>
      </c>
      <c r="B318" s="68" t="s">
        <v>242</v>
      </c>
      <c r="C318" s="67" t="s">
        <v>254</v>
      </c>
      <c r="D318" s="68" t="s">
        <v>257</v>
      </c>
      <c r="E318" s="68">
        <v>853</v>
      </c>
      <c r="F318" s="131">
        <f>'ПР 8 ведом'!G216</f>
        <v>24.975999999999999</v>
      </c>
      <c r="G318" s="131">
        <f>'ПР 8 ведом'!H216</f>
        <v>24.472000000000001</v>
      </c>
      <c r="H318" s="90"/>
      <c r="I318" s="90"/>
      <c r="J318" s="90"/>
      <c r="K318" s="90"/>
      <c r="L318" s="90"/>
      <c r="M318" s="90"/>
    </row>
    <row r="319" spans="1:13" s="52" customFormat="1" ht="21" customHeight="1" x14ac:dyDescent="0.2">
      <c r="A319" s="66" t="s">
        <v>259</v>
      </c>
      <c r="B319" s="68" t="s">
        <v>242</v>
      </c>
      <c r="C319" s="67" t="s">
        <v>254</v>
      </c>
      <c r="D319" s="68" t="s">
        <v>260</v>
      </c>
      <c r="E319" s="68" t="s">
        <v>184</v>
      </c>
      <c r="F319" s="131">
        <f>F320+F324+F327</f>
        <v>157636.53119999997</v>
      </c>
      <c r="G319" s="131">
        <f>G320+G324+G327</f>
        <v>158650.13639999999</v>
      </c>
      <c r="H319" s="90"/>
      <c r="I319" s="90"/>
      <c r="J319" s="90"/>
      <c r="K319" s="90"/>
      <c r="L319" s="90"/>
      <c r="M319" s="90"/>
    </row>
    <row r="320" spans="1:13" s="52" customFormat="1" ht="45" x14ac:dyDescent="0.2">
      <c r="A320" s="66" t="s">
        <v>139</v>
      </c>
      <c r="B320" s="68" t="s">
        <v>242</v>
      </c>
      <c r="C320" s="67" t="s">
        <v>254</v>
      </c>
      <c r="D320" s="68" t="s">
        <v>260</v>
      </c>
      <c r="E320" s="68" t="s">
        <v>140</v>
      </c>
      <c r="F320" s="131">
        <f>F321</f>
        <v>11262.3</v>
      </c>
      <c r="G320" s="131">
        <f>G321</f>
        <v>11262.3</v>
      </c>
      <c r="H320" s="90"/>
      <c r="I320" s="90"/>
      <c r="J320" s="90"/>
      <c r="K320" s="90"/>
      <c r="L320" s="90"/>
      <c r="M320" s="90"/>
    </row>
    <row r="321" spans="1:13" s="52" customFormat="1" ht="14.25" customHeight="1" x14ac:dyDescent="0.2">
      <c r="A321" s="66" t="s">
        <v>141</v>
      </c>
      <c r="B321" s="68" t="s">
        <v>242</v>
      </c>
      <c r="C321" s="67" t="s">
        <v>254</v>
      </c>
      <c r="D321" s="68" t="s">
        <v>260</v>
      </c>
      <c r="E321" s="68">
        <v>110</v>
      </c>
      <c r="F321" s="131">
        <f>F322+F323</f>
        <v>11262.3</v>
      </c>
      <c r="G321" s="131">
        <f>G322+G323</f>
        <v>11262.3</v>
      </c>
      <c r="H321" s="90"/>
      <c r="I321" s="90"/>
      <c r="J321" s="90"/>
      <c r="K321" s="90"/>
      <c r="L321" s="90"/>
      <c r="M321" s="90"/>
    </row>
    <row r="322" spans="1:13" s="52" customFormat="1" ht="14.25" customHeight="1" x14ac:dyDescent="0.2">
      <c r="A322" s="66" t="s">
        <v>142</v>
      </c>
      <c r="B322" s="68" t="s">
        <v>242</v>
      </c>
      <c r="C322" s="67" t="s">
        <v>254</v>
      </c>
      <c r="D322" s="68" t="s">
        <v>260</v>
      </c>
      <c r="E322" s="68">
        <v>111</v>
      </c>
      <c r="F322" s="131">
        <f>'ПР 8 ведом'!G220</f>
        <v>8650</v>
      </c>
      <c r="G322" s="131">
        <f>'ПР 8 ведом'!H220</f>
        <v>8650</v>
      </c>
      <c r="H322" s="90"/>
      <c r="I322" s="90"/>
      <c r="J322" s="90"/>
      <c r="K322" s="90"/>
      <c r="L322" s="90"/>
      <c r="M322" s="90"/>
    </row>
    <row r="323" spans="1:13" s="52" customFormat="1" ht="34.5" customHeight="1" x14ac:dyDescent="0.2">
      <c r="A323" s="69" t="s">
        <v>143</v>
      </c>
      <c r="B323" s="68" t="s">
        <v>242</v>
      </c>
      <c r="C323" s="67" t="s">
        <v>254</v>
      </c>
      <c r="D323" s="68" t="s">
        <v>260</v>
      </c>
      <c r="E323" s="68">
        <v>119</v>
      </c>
      <c r="F323" s="131">
        <f>'ПР 8 ведом'!G221</f>
        <v>2612.3000000000002</v>
      </c>
      <c r="G323" s="131">
        <f>'ПР 8 ведом'!H221</f>
        <v>2612.3000000000002</v>
      </c>
      <c r="H323" s="90"/>
      <c r="I323" s="90"/>
      <c r="J323" s="90"/>
      <c r="K323" s="90"/>
      <c r="L323" s="90"/>
      <c r="M323" s="90"/>
    </row>
    <row r="324" spans="1:13" s="52" customFormat="1" ht="25.5" customHeight="1" x14ac:dyDescent="0.2">
      <c r="A324" s="66" t="s">
        <v>149</v>
      </c>
      <c r="B324" s="68" t="s">
        <v>242</v>
      </c>
      <c r="C324" s="67" t="s">
        <v>254</v>
      </c>
      <c r="D324" s="68" t="s">
        <v>260</v>
      </c>
      <c r="E324" s="68" t="s">
        <v>150</v>
      </c>
      <c r="F324" s="131">
        <f>SUM(F325)</f>
        <v>50</v>
      </c>
      <c r="G324" s="131">
        <f>SUM(G325)</f>
        <v>50</v>
      </c>
      <c r="H324" s="90"/>
      <c r="I324" s="90"/>
      <c r="J324" s="90"/>
      <c r="K324" s="90"/>
      <c r="L324" s="90"/>
      <c r="M324" s="90"/>
    </row>
    <row r="325" spans="1:13" s="52" customFormat="1" ht="20.25" customHeight="1" x14ac:dyDescent="0.2">
      <c r="A325" s="66" t="s">
        <v>151</v>
      </c>
      <c r="B325" s="68" t="s">
        <v>242</v>
      </c>
      <c r="C325" s="67" t="s">
        <v>254</v>
      </c>
      <c r="D325" s="68" t="s">
        <v>260</v>
      </c>
      <c r="E325" s="68" t="s">
        <v>152</v>
      </c>
      <c r="F325" s="131">
        <f>SUM(F326)</f>
        <v>50</v>
      </c>
      <c r="G325" s="131">
        <f>SUM(G326)</f>
        <v>50</v>
      </c>
      <c r="H325" s="90"/>
      <c r="I325" s="90"/>
      <c r="J325" s="90"/>
      <c r="K325" s="90"/>
      <c r="L325" s="90"/>
      <c r="M325" s="90"/>
    </row>
    <row r="326" spans="1:13" s="52" customFormat="1" ht="20.25" customHeight="1" x14ac:dyDescent="0.2">
      <c r="A326" s="70" t="s">
        <v>153</v>
      </c>
      <c r="B326" s="68" t="s">
        <v>242</v>
      </c>
      <c r="C326" s="67" t="s">
        <v>254</v>
      </c>
      <c r="D326" s="68" t="s">
        <v>260</v>
      </c>
      <c r="E326" s="68" t="s">
        <v>154</v>
      </c>
      <c r="F326" s="131">
        <f>'ПР 8 ведом'!G224</f>
        <v>50</v>
      </c>
      <c r="G326" s="131">
        <f>'ПР 8 ведом'!H224</f>
        <v>50</v>
      </c>
      <c r="H326" s="90"/>
      <c r="I326" s="90"/>
      <c r="J326" s="90"/>
      <c r="K326" s="90"/>
      <c r="L326" s="90"/>
      <c r="M326" s="90"/>
    </row>
    <row r="327" spans="1:13" s="52" customFormat="1" ht="36" customHeight="1" x14ac:dyDescent="0.2">
      <c r="A327" s="66" t="s">
        <v>129</v>
      </c>
      <c r="B327" s="68" t="s">
        <v>242</v>
      </c>
      <c r="C327" s="68" t="s">
        <v>254</v>
      </c>
      <c r="D327" s="218" t="s">
        <v>260</v>
      </c>
      <c r="E327" s="68" t="s">
        <v>130</v>
      </c>
      <c r="F327" s="131">
        <f>F328+F330</f>
        <v>146324.23119999998</v>
      </c>
      <c r="G327" s="131">
        <f>G328+G330</f>
        <v>147337.8364</v>
      </c>
      <c r="H327" s="90"/>
      <c r="I327" s="90"/>
      <c r="J327" s="90"/>
      <c r="K327" s="90"/>
      <c r="L327" s="90"/>
      <c r="M327" s="90"/>
    </row>
    <row r="328" spans="1:13" s="52" customFormat="1" ht="13.5" customHeight="1" x14ac:dyDescent="0.2">
      <c r="A328" s="66" t="s">
        <v>131</v>
      </c>
      <c r="B328" s="68" t="s">
        <v>242</v>
      </c>
      <c r="C328" s="68" t="s">
        <v>254</v>
      </c>
      <c r="D328" s="218" t="s">
        <v>260</v>
      </c>
      <c r="E328" s="68" t="s">
        <v>132</v>
      </c>
      <c r="F328" s="131">
        <f>F329</f>
        <v>128940.4</v>
      </c>
      <c r="G328" s="131">
        <f>G329</f>
        <v>130304.8</v>
      </c>
      <c r="H328" s="90"/>
      <c r="I328" s="90"/>
      <c r="J328" s="90"/>
      <c r="K328" s="90"/>
      <c r="L328" s="90"/>
      <c r="M328" s="90"/>
    </row>
    <row r="329" spans="1:13" s="52" customFormat="1" ht="35.25" customHeight="1" x14ac:dyDescent="0.2">
      <c r="A329" s="66" t="s">
        <v>133</v>
      </c>
      <c r="B329" s="68" t="s">
        <v>242</v>
      </c>
      <c r="C329" s="68" t="s">
        <v>254</v>
      </c>
      <c r="D329" s="218" t="s">
        <v>260</v>
      </c>
      <c r="E329" s="68" t="s">
        <v>134</v>
      </c>
      <c r="F329" s="131">
        <f>'ПР 8 ведом'!G227</f>
        <v>128940.4</v>
      </c>
      <c r="G329" s="131">
        <f>'ПР 8 ведом'!H227</f>
        <v>130304.8</v>
      </c>
      <c r="H329" s="90"/>
      <c r="I329" s="90"/>
      <c r="J329" s="90"/>
      <c r="K329" s="90"/>
      <c r="L329" s="90"/>
      <c r="M329" s="90"/>
    </row>
    <row r="330" spans="1:13" s="52" customFormat="1" ht="10.5" customHeight="1" x14ac:dyDescent="0.2">
      <c r="A330" s="66" t="s">
        <v>444</v>
      </c>
      <c r="B330" s="68" t="s">
        <v>242</v>
      </c>
      <c r="C330" s="68" t="s">
        <v>254</v>
      </c>
      <c r="D330" s="218" t="s">
        <v>260</v>
      </c>
      <c r="E330" s="68">
        <v>620</v>
      </c>
      <c r="F330" s="131">
        <f>F331</f>
        <v>17383.831200000001</v>
      </c>
      <c r="G330" s="131">
        <f>G331</f>
        <v>17033.036400000001</v>
      </c>
      <c r="H330" s="90"/>
      <c r="I330" s="90"/>
      <c r="J330" s="90"/>
      <c r="K330" s="90"/>
      <c r="L330" s="90"/>
      <c r="M330" s="90"/>
    </row>
    <row r="331" spans="1:13" s="52" customFormat="1" ht="36" customHeight="1" x14ac:dyDescent="0.2">
      <c r="A331" s="66" t="s">
        <v>445</v>
      </c>
      <c r="B331" s="68" t="s">
        <v>242</v>
      </c>
      <c r="C331" s="68" t="s">
        <v>254</v>
      </c>
      <c r="D331" s="218" t="s">
        <v>260</v>
      </c>
      <c r="E331" s="68">
        <v>621</v>
      </c>
      <c r="F331" s="131">
        <f>'ПР 8 ведом'!G229</f>
        <v>17383.831200000001</v>
      </c>
      <c r="G331" s="131">
        <f>'ПР 8 ведом'!H229</f>
        <v>17033.036400000001</v>
      </c>
      <c r="H331" s="90"/>
      <c r="I331" s="90"/>
      <c r="J331" s="90"/>
      <c r="K331" s="90"/>
      <c r="L331" s="90"/>
      <c r="M331" s="90"/>
    </row>
    <row r="332" spans="1:13" s="52" customFormat="1" ht="13.5" customHeight="1" x14ac:dyDescent="0.2">
      <c r="A332" s="66" t="s">
        <v>665</v>
      </c>
      <c r="B332" s="68" t="s">
        <v>242</v>
      </c>
      <c r="C332" s="68" t="s">
        <v>254</v>
      </c>
      <c r="D332" s="218" t="s">
        <v>566</v>
      </c>
      <c r="E332" s="68" t="s">
        <v>184</v>
      </c>
      <c r="F332" s="131">
        <f t="shared" ref="F332:G334" si="26">F333</f>
        <v>1538.9</v>
      </c>
      <c r="G332" s="131">
        <f t="shared" si="26"/>
        <v>1548.8</v>
      </c>
      <c r="H332" s="90"/>
      <c r="I332" s="90"/>
      <c r="J332" s="90"/>
      <c r="K332" s="90"/>
      <c r="L332" s="90"/>
      <c r="M332" s="90"/>
    </row>
    <row r="333" spans="1:13" s="52" customFormat="1" ht="13.5" customHeight="1" x14ac:dyDescent="0.2">
      <c r="A333" s="83" t="s">
        <v>129</v>
      </c>
      <c r="B333" s="68" t="s">
        <v>242</v>
      </c>
      <c r="C333" s="68" t="s">
        <v>254</v>
      </c>
      <c r="D333" s="218" t="s">
        <v>566</v>
      </c>
      <c r="E333" s="68" t="s">
        <v>130</v>
      </c>
      <c r="F333" s="131">
        <f t="shared" si="26"/>
        <v>1538.9</v>
      </c>
      <c r="G333" s="131">
        <f t="shared" si="26"/>
        <v>1548.8</v>
      </c>
      <c r="H333" s="90"/>
      <c r="I333" s="90"/>
      <c r="J333" s="90"/>
      <c r="K333" s="90"/>
      <c r="L333" s="90"/>
      <c r="M333" s="90"/>
    </row>
    <row r="334" spans="1:13" s="52" customFormat="1" ht="13.5" customHeight="1" x14ac:dyDescent="0.2">
      <c r="A334" s="83" t="s">
        <v>131</v>
      </c>
      <c r="B334" s="68" t="s">
        <v>242</v>
      </c>
      <c r="C334" s="68" t="s">
        <v>254</v>
      </c>
      <c r="D334" s="218" t="s">
        <v>566</v>
      </c>
      <c r="E334" s="68" t="s">
        <v>132</v>
      </c>
      <c r="F334" s="131">
        <f t="shared" si="26"/>
        <v>1538.9</v>
      </c>
      <c r="G334" s="131">
        <f t="shared" si="26"/>
        <v>1548.8</v>
      </c>
      <c r="H334" s="90"/>
      <c r="I334" s="90"/>
      <c r="J334" s="90"/>
      <c r="K334" s="90"/>
      <c r="L334" s="90"/>
      <c r="M334" s="90"/>
    </row>
    <row r="335" spans="1:13" s="52" customFormat="1" ht="13.5" customHeight="1" x14ac:dyDescent="0.2">
      <c r="A335" s="66" t="s">
        <v>567</v>
      </c>
      <c r="B335" s="68" t="s">
        <v>242</v>
      </c>
      <c r="C335" s="68" t="s">
        <v>254</v>
      </c>
      <c r="D335" s="218" t="s">
        <v>566</v>
      </c>
      <c r="E335" s="68">
        <v>612</v>
      </c>
      <c r="F335" s="131">
        <f>'ПР 8 ведом'!G243</f>
        <v>1538.9</v>
      </c>
      <c r="G335" s="131">
        <f>'ПР 8 ведом'!H243</f>
        <v>1548.8</v>
      </c>
      <c r="H335" s="90"/>
      <c r="I335" s="90"/>
      <c r="J335" s="90"/>
      <c r="K335" s="90"/>
      <c r="L335" s="90"/>
      <c r="M335" s="90"/>
    </row>
    <row r="336" spans="1:13" s="92" customFormat="1" ht="22.5" customHeight="1" x14ac:dyDescent="0.2">
      <c r="A336" s="66" t="s">
        <v>250</v>
      </c>
      <c r="B336" s="68" t="s">
        <v>242</v>
      </c>
      <c r="C336" s="67" t="s">
        <v>254</v>
      </c>
      <c r="D336" s="68" t="s">
        <v>251</v>
      </c>
      <c r="E336" s="68"/>
      <c r="F336" s="131">
        <f>F337</f>
        <v>910.53600000000006</v>
      </c>
      <c r="G336" s="131">
        <f>G337</f>
        <v>895.0920000000001</v>
      </c>
      <c r="H336" s="158"/>
      <c r="I336" s="158"/>
      <c r="J336" s="158"/>
      <c r="K336" s="158"/>
      <c r="L336" s="158"/>
      <c r="M336" s="158"/>
    </row>
    <row r="337" spans="1:13" s="92" customFormat="1" ht="12.75" customHeight="1" x14ac:dyDescent="0.2">
      <c r="A337" s="85" t="s">
        <v>83</v>
      </c>
      <c r="B337" s="68" t="s">
        <v>242</v>
      </c>
      <c r="C337" s="67" t="s">
        <v>254</v>
      </c>
      <c r="D337" s="68" t="s">
        <v>252</v>
      </c>
      <c r="E337" s="68"/>
      <c r="F337" s="131">
        <f>F338+F341</f>
        <v>910.53600000000006</v>
      </c>
      <c r="G337" s="131">
        <f>G338+G341</f>
        <v>895.0920000000001</v>
      </c>
      <c r="H337" s="158"/>
      <c r="I337" s="158"/>
      <c r="J337" s="158"/>
      <c r="K337" s="158"/>
      <c r="L337" s="158"/>
      <c r="M337" s="158"/>
    </row>
    <row r="338" spans="1:13" s="92" customFormat="1" ht="12.75" customHeight="1" x14ac:dyDescent="0.2">
      <c r="A338" s="83" t="s">
        <v>139</v>
      </c>
      <c r="B338" s="68" t="s">
        <v>242</v>
      </c>
      <c r="C338" s="68" t="s">
        <v>254</v>
      </c>
      <c r="D338" s="68" t="s">
        <v>252</v>
      </c>
      <c r="E338" s="68">
        <v>100</v>
      </c>
      <c r="F338" s="131">
        <f>F339</f>
        <v>46.2</v>
      </c>
      <c r="G338" s="131">
        <f>G339</f>
        <v>46.2</v>
      </c>
      <c r="H338" s="158"/>
      <c r="I338" s="158"/>
      <c r="J338" s="158"/>
      <c r="K338" s="158"/>
      <c r="L338" s="158"/>
      <c r="M338" s="158"/>
    </row>
    <row r="339" spans="1:13" s="92" customFormat="1" ht="12.75" customHeight="1" x14ac:dyDescent="0.2">
      <c r="A339" s="83" t="s">
        <v>141</v>
      </c>
      <c r="B339" s="68" t="s">
        <v>242</v>
      </c>
      <c r="C339" s="68" t="s">
        <v>254</v>
      </c>
      <c r="D339" s="68" t="s">
        <v>252</v>
      </c>
      <c r="E339" s="68">
        <v>110</v>
      </c>
      <c r="F339" s="131">
        <f>F340</f>
        <v>46.2</v>
      </c>
      <c r="G339" s="131">
        <f>G340</f>
        <v>46.2</v>
      </c>
      <c r="H339" s="158"/>
      <c r="I339" s="158"/>
      <c r="J339" s="158"/>
      <c r="K339" s="158"/>
      <c r="L339" s="158"/>
      <c r="M339" s="158"/>
    </row>
    <row r="340" spans="1:13" s="92" customFormat="1" ht="12.75" customHeight="1" x14ac:dyDescent="0.2">
      <c r="A340" s="115" t="s">
        <v>565</v>
      </c>
      <c r="B340" s="68" t="s">
        <v>242</v>
      </c>
      <c r="C340" s="68" t="s">
        <v>254</v>
      </c>
      <c r="D340" s="68" t="s">
        <v>252</v>
      </c>
      <c r="E340" s="68">
        <v>112</v>
      </c>
      <c r="F340" s="131">
        <f>'ПР 8 ведом'!G234</f>
        <v>46.2</v>
      </c>
      <c r="G340" s="131">
        <f>'ПР 8 ведом'!H234</f>
        <v>46.2</v>
      </c>
      <c r="H340" s="158"/>
      <c r="I340" s="158"/>
      <c r="J340" s="158"/>
      <c r="K340" s="158"/>
      <c r="L340" s="158"/>
      <c r="M340" s="158"/>
    </row>
    <row r="341" spans="1:13" s="52" customFormat="1" ht="33.75" customHeight="1" x14ac:dyDescent="0.2">
      <c r="A341" s="66" t="s">
        <v>129</v>
      </c>
      <c r="B341" s="68" t="s">
        <v>242</v>
      </c>
      <c r="C341" s="67" t="s">
        <v>254</v>
      </c>
      <c r="D341" s="68" t="s">
        <v>252</v>
      </c>
      <c r="E341" s="68">
        <v>600</v>
      </c>
      <c r="F341" s="131">
        <f>F342+F344</f>
        <v>864.33600000000001</v>
      </c>
      <c r="G341" s="131">
        <f>G342+G344</f>
        <v>848.89200000000005</v>
      </c>
      <c r="H341" s="90"/>
      <c r="I341" s="90"/>
      <c r="J341" s="90"/>
      <c r="K341" s="90"/>
      <c r="L341" s="90"/>
      <c r="M341" s="90"/>
    </row>
    <row r="342" spans="1:13" s="52" customFormat="1" ht="15.75" customHeight="1" x14ac:dyDescent="0.2">
      <c r="A342" s="66" t="s">
        <v>131</v>
      </c>
      <c r="B342" s="68" t="s">
        <v>242</v>
      </c>
      <c r="C342" s="67" t="s">
        <v>254</v>
      </c>
      <c r="D342" s="68" t="s">
        <v>252</v>
      </c>
      <c r="E342" s="68">
        <v>610</v>
      </c>
      <c r="F342" s="131">
        <f>F343</f>
        <v>765.33600000000001</v>
      </c>
      <c r="G342" s="131">
        <f>G343</f>
        <v>749.89200000000005</v>
      </c>
      <c r="H342" s="90"/>
      <c r="I342" s="90"/>
      <c r="J342" s="90"/>
      <c r="K342" s="90"/>
      <c r="L342" s="90"/>
      <c r="M342" s="90"/>
    </row>
    <row r="343" spans="1:13" s="52" customFormat="1" ht="45" x14ac:dyDescent="0.2">
      <c r="A343" s="66" t="s">
        <v>133</v>
      </c>
      <c r="B343" s="68" t="s">
        <v>242</v>
      </c>
      <c r="C343" s="67" t="s">
        <v>254</v>
      </c>
      <c r="D343" s="68" t="s">
        <v>252</v>
      </c>
      <c r="E343" s="68">
        <v>611</v>
      </c>
      <c r="F343" s="131">
        <f>'ПР 8 ведом'!G237</f>
        <v>765.33600000000001</v>
      </c>
      <c r="G343" s="131">
        <f>'ПР 8 ведом'!H237</f>
        <v>749.89200000000005</v>
      </c>
      <c r="H343" s="90"/>
      <c r="I343" s="90"/>
      <c r="J343" s="90"/>
      <c r="K343" s="90"/>
      <c r="L343" s="90"/>
      <c r="M343" s="90"/>
    </row>
    <row r="344" spans="1:13" s="52" customFormat="1" x14ac:dyDescent="0.2">
      <c r="A344" s="66" t="s">
        <v>444</v>
      </c>
      <c r="B344" s="68" t="s">
        <v>242</v>
      </c>
      <c r="C344" s="67" t="s">
        <v>254</v>
      </c>
      <c r="D344" s="68" t="s">
        <v>252</v>
      </c>
      <c r="E344" s="68">
        <v>620</v>
      </c>
      <c r="F344" s="131">
        <f>F345</f>
        <v>99</v>
      </c>
      <c r="G344" s="131">
        <f>G345</f>
        <v>99</v>
      </c>
      <c r="H344" s="57"/>
      <c r="I344" s="57"/>
      <c r="J344" s="57"/>
      <c r="K344" s="343"/>
      <c r="L344" s="286"/>
      <c r="M344" s="90"/>
    </row>
    <row r="345" spans="1:13" s="52" customFormat="1" ht="45" x14ac:dyDescent="0.2">
      <c r="A345" s="66" t="s">
        <v>445</v>
      </c>
      <c r="B345" s="68" t="s">
        <v>242</v>
      </c>
      <c r="C345" s="67" t="s">
        <v>254</v>
      </c>
      <c r="D345" s="68" t="s">
        <v>252</v>
      </c>
      <c r="E345" s="68">
        <v>621</v>
      </c>
      <c r="F345" s="131">
        <f>'ПР 8 ведом'!G239</f>
        <v>99</v>
      </c>
      <c r="G345" s="131">
        <f>'ПР 8 ведом'!H239</f>
        <v>99</v>
      </c>
      <c r="H345" s="57"/>
      <c r="I345" s="57"/>
      <c r="J345" s="57"/>
      <c r="K345" s="343"/>
      <c r="L345" s="286"/>
      <c r="M345" s="90"/>
    </row>
    <row r="346" spans="1:13" s="52" customFormat="1" x14ac:dyDescent="0.2">
      <c r="A346" s="212" t="s">
        <v>447</v>
      </c>
      <c r="B346" s="96" t="s">
        <v>242</v>
      </c>
      <c r="C346" s="94" t="s">
        <v>188</v>
      </c>
      <c r="D346" s="68"/>
      <c r="E346" s="68"/>
      <c r="F346" s="138">
        <f>F347+F352</f>
        <v>42102.747199999998</v>
      </c>
      <c r="G346" s="138">
        <f>G347+G352</f>
        <v>41370.238400000009</v>
      </c>
      <c r="H346" s="57"/>
      <c r="I346" s="57"/>
      <c r="J346" s="57"/>
      <c r="K346" s="57"/>
      <c r="L346" s="65"/>
      <c r="M346" s="90"/>
    </row>
    <row r="347" spans="1:13" s="52" customFormat="1" x14ac:dyDescent="0.2">
      <c r="A347" s="83" t="s">
        <v>448</v>
      </c>
      <c r="B347" s="68" t="s">
        <v>242</v>
      </c>
      <c r="C347" s="67" t="s">
        <v>188</v>
      </c>
      <c r="D347" s="68" t="s">
        <v>449</v>
      </c>
      <c r="E347" s="84" t="s">
        <v>184</v>
      </c>
      <c r="F347" s="135">
        <f t="shared" ref="F347:G350" si="27">F348</f>
        <v>41863.691200000001</v>
      </c>
      <c r="G347" s="135">
        <f t="shared" si="27"/>
        <v>41136.006400000006</v>
      </c>
      <c r="H347" s="57"/>
      <c r="I347" s="57"/>
      <c r="J347" s="57"/>
      <c r="K347" s="57"/>
      <c r="L347" s="65"/>
      <c r="M347" s="90"/>
    </row>
    <row r="348" spans="1:13" s="52" customFormat="1" x14ac:dyDescent="0.2">
      <c r="A348" s="83" t="s">
        <v>450</v>
      </c>
      <c r="B348" s="68" t="s">
        <v>242</v>
      </c>
      <c r="C348" s="67" t="s">
        <v>188</v>
      </c>
      <c r="D348" s="68" t="s">
        <v>451</v>
      </c>
      <c r="E348" s="84" t="s">
        <v>184</v>
      </c>
      <c r="F348" s="135">
        <f t="shared" si="27"/>
        <v>41863.691200000001</v>
      </c>
      <c r="G348" s="135">
        <f t="shared" si="27"/>
        <v>41136.006400000006</v>
      </c>
      <c r="H348" s="57"/>
      <c r="I348" s="57"/>
      <c r="J348" s="57"/>
      <c r="K348" s="57"/>
      <c r="L348" s="65"/>
      <c r="M348" s="90"/>
    </row>
    <row r="349" spans="1:13" s="52" customFormat="1" ht="22.5" x14ac:dyDescent="0.2">
      <c r="A349" s="66" t="s">
        <v>129</v>
      </c>
      <c r="B349" s="68" t="s">
        <v>242</v>
      </c>
      <c r="C349" s="67" t="s">
        <v>188</v>
      </c>
      <c r="D349" s="68" t="s">
        <v>451</v>
      </c>
      <c r="E349" s="68">
        <v>600</v>
      </c>
      <c r="F349" s="131">
        <f t="shared" si="27"/>
        <v>41863.691200000001</v>
      </c>
      <c r="G349" s="131">
        <f t="shared" si="27"/>
        <v>41136.006400000006</v>
      </c>
      <c r="H349" s="90"/>
      <c r="I349" s="90"/>
      <c r="J349" s="90"/>
      <c r="K349" s="90"/>
      <c r="L349" s="90"/>
      <c r="M349" s="90"/>
    </row>
    <row r="350" spans="1:13" s="52" customFormat="1" x14ac:dyDescent="0.2">
      <c r="A350" s="66" t="s">
        <v>131</v>
      </c>
      <c r="B350" s="68" t="s">
        <v>242</v>
      </c>
      <c r="C350" s="67" t="s">
        <v>188</v>
      </c>
      <c r="D350" s="68" t="s">
        <v>451</v>
      </c>
      <c r="E350" s="68">
        <v>610</v>
      </c>
      <c r="F350" s="131">
        <f t="shared" si="27"/>
        <v>41863.691200000001</v>
      </c>
      <c r="G350" s="131">
        <f t="shared" si="27"/>
        <v>41136.006400000006</v>
      </c>
      <c r="H350" s="90"/>
      <c r="I350" s="90"/>
      <c r="J350" s="90"/>
      <c r="K350" s="90"/>
      <c r="L350" s="90"/>
      <c r="M350" s="90"/>
    </row>
    <row r="351" spans="1:13" s="92" customFormat="1" ht="22.5" customHeight="1" x14ac:dyDescent="0.2">
      <c r="A351" s="66" t="s">
        <v>133</v>
      </c>
      <c r="B351" s="68" t="s">
        <v>242</v>
      </c>
      <c r="C351" s="67" t="s">
        <v>188</v>
      </c>
      <c r="D351" s="68" t="s">
        <v>451</v>
      </c>
      <c r="E351" s="68">
        <v>611</v>
      </c>
      <c r="F351" s="131">
        <f>'ПР 8 ведом'!G22+'ПР 8 ведом'!G248</f>
        <v>41863.691200000001</v>
      </c>
      <c r="G351" s="131">
        <f>'ПР 8 ведом'!H22+'ПР 8 ведом'!H248</f>
        <v>41136.006400000006</v>
      </c>
      <c r="H351" s="158"/>
      <c r="I351" s="158"/>
      <c r="J351" s="158"/>
      <c r="K351" s="158"/>
      <c r="L351" s="158"/>
      <c r="M351" s="158"/>
    </row>
    <row r="352" spans="1:13" s="92" customFormat="1" ht="22.5" customHeight="1" x14ac:dyDescent="0.2">
      <c r="A352" s="83" t="s">
        <v>568</v>
      </c>
      <c r="B352" s="84" t="s">
        <v>242</v>
      </c>
      <c r="C352" s="87" t="s">
        <v>188</v>
      </c>
      <c r="D352" s="84" t="s">
        <v>251</v>
      </c>
      <c r="E352" s="84"/>
      <c r="F352" s="131">
        <f t="shared" ref="F352:G354" si="28">F353</f>
        <v>239.05600000000001</v>
      </c>
      <c r="G352" s="131">
        <f t="shared" si="28"/>
        <v>234.23200000000003</v>
      </c>
      <c r="H352" s="158"/>
      <c r="I352" s="158"/>
      <c r="J352" s="158"/>
      <c r="K352" s="158"/>
      <c r="L352" s="158"/>
      <c r="M352" s="158"/>
    </row>
    <row r="353" spans="1:13" s="92" customFormat="1" ht="22.5" customHeight="1" x14ac:dyDescent="0.2">
      <c r="A353" s="83" t="s">
        <v>129</v>
      </c>
      <c r="B353" s="84" t="s">
        <v>242</v>
      </c>
      <c r="C353" s="87" t="s">
        <v>188</v>
      </c>
      <c r="D353" s="84" t="s">
        <v>252</v>
      </c>
      <c r="E353" s="68">
        <v>600</v>
      </c>
      <c r="F353" s="131">
        <f t="shared" si="28"/>
        <v>239.05600000000001</v>
      </c>
      <c r="G353" s="131">
        <f t="shared" si="28"/>
        <v>234.23200000000003</v>
      </c>
      <c r="H353" s="158"/>
      <c r="I353" s="158"/>
      <c r="J353" s="158"/>
      <c r="K353" s="158"/>
      <c r="L353" s="158"/>
      <c r="M353" s="158"/>
    </row>
    <row r="354" spans="1:13" s="92" customFormat="1" ht="22.5" customHeight="1" x14ac:dyDescent="0.2">
      <c r="A354" s="83" t="s">
        <v>131</v>
      </c>
      <c r="B354" s="84" t="s">
        <v>242</v>
      </c>
      <c r="C354" s="87" t="s">
        <v>188</v>
      </c>
      <c r="D354" s="84" t="s">
        <v>252</v>
      </c>
      <c r="E354" s="68">
        <v>610</v>
      </c>
      <c r="F354" s="131">
        <f t="shared" si="28"/>
        <v>239.05600000000001</v>
      </c>
      <c r="G354" s="131">
        <f t="shared" si="28"/>
        <v>234.23200000000003</v>
      </c>
      <c r="H354" s="158"/>
      <c r="I354" s="158"/>
      <c r="J354" s="158"/>
      <c r="K354" s="158"/>
      <c r="L354" s="158"/>
      <c r="M354" s="158"/>
    </row>
    <row r="355" spans="1:13" s="92" customFormat="1" ht="22.5" customHeight="1" x14ac:dyDescent="0.2">
      <c r="A355" s="83" t="s">
        <v>133</v>
      </c>
      <c r="B355" s="84" t="s">
        <v>242</v>
      </c>
      <c r="C355" s="87" t="s">
        <v>188</v>
      </c>
      <c r="D355" s="84" t="s">
        <v>252</v>
      </c>
      <c r="E355" s="68">
        <v>611</v>
      </c>
      <c r="F355" s="131">
        <f>'ПР 8 ведом'!G27+'ПР 8 ведом'!G253</f>
        <v>239.05600000000001</v>
      </c>
      <c r="G355" s="131">
        <f>'ПР 8 ведом'!H27+'ПР 8 ведом'!H253</f>
        <v>234.23200000000003</v>
      </c>
      <c r="H355" s="158"/>
      <c r="I355" s="158"/>
      <c r="J355" s="158"/>
      <c r="K355" s="158"/>
      <c r="L355" s="158"/>
      <c r="M355" s="158"/>
    </row>
    <row r="356" spans="1:13" s="74" customFormat="1" x14ac:dyDescent="0.2">
      <c r="A356" s="61" t="s">
        <v>504</v>
      </c>
      <c r="B356" s="94" t="s">
        <v>242</v>
      </c>
      <c r="C356" s="94" t="s">
        <v>242</v>
      </c>
      <c r="D356" s="96"/>
      <c r="E356" s="96"/>
      <c r="F356" s="138">
        <f>F357+F364</f>
        <v>2217.92</v>
      </c>
      <c r="G356" s="138">
        <f>G357+G364</f>
        <v>2225.84</v>
      </c>
      <c r="H356" s="150"/>
      <c r="I356" s="150"/>
      <c r="J356" s="150"/>
      <c r="K356" s="150"/>
      <c r="L356" s="150"/>
      <c r="M356" s="150"/>
    </row>
    <row r="357" spans="1:13" s="74" customFormat="1" ht="21.75" customHeight="1" x14ac:dyDescent="0.2">
      <c r="A357" s="83" t="s">
        <v>506</v>
      </c>
      <c r="B357" s="68" t="s">
        <v>242</v>
      </c>
      <c r="C357" s="68" t="s">
        <v>242</v>
      </c>
      <c r="D357" s="68" t="s">
        <v>507</v>
      </c>
      <c r="E357" s="84" t="s">
        <v>184</v>
      </c>
      <c r="F357" s="135">
        <f>F358</f>
        <v>2164.4</v>
      </c>
      <c r="G357" s="135">
        <f>G358</f>
        <v>2173.4</v>
      </c>
      <c r="H357" s="150"/>
      <c r="I357" s="150"/>
      <c r="J357" s="150"/>
      <c r="K357" s="150"/>
      <c r="L357" s="150"/>
      <c r="M357" s="150"/>
    </row>
    <row r="358" spans="1:13" s="74" customFormat="1" ht="21.75" customHeight="1" x14ac:dyDescent="0.2">
      <c r="A358" s="83" t="s">
        <v>508</v>
      </c>
      <c r="B358" s="68" t="s">
        <v>242</v>
      </c>
      <c r="C358" s="67" t="s">
        <v>242</v>
      </c>
      <c r="D358" s="68" t="s">
        <v>509</v>
      </c>
      <c r="E358" s="84"/>
      <c r="F358" s="135">
        <f>F359</f>
        <v>2164.4</v>
      </c>
      <c r="G358" s="135">
        <f>G359</f>
        <v>2173.4</v>
      </c>
      <c r="H358" s="150"/>
      <c r="I358" s="150"/>
      <c r="J358" s="150"/>
      <c r="K358" s="150"/>
      <c r="L358" s="150"/>
      <c r="M358" s="150"/>
    </row>
    <row r="359" spans="1:13" s="52" customFormat="1" ht="21.75" customHeight="1" x14ac:dyDescent="0.2">
      <c r="A359" s="66" t="s">
        <v>129</v>
      </c>
      <c r="B359" s="68" t="s">
        <v>242</v>
      </c>
      <c r="C359" s="67" t="s">
        <v>242</v>
      </c>
      <c r="D359" s="68" t="s">
        <v>510</v>
      </c>
      <c r="E359" s="68">
        <v>600</v>
      </c>
      <c r="F359" s="131">
        <f>F360+F362</f>
        <v>2164.4</v>
      </c>
      <c r="G359" s="131">
        <f>G360+G362</f>
        <v>2173.4</v>
      </c>
      <c r="H359" s="90"/>
      <c r="I359" s="90"/>
      <c r="J359" s="90"/>
      <c r="K359" s="90"/>
      <c r="L359" s="90"/>
      <c r="M359" s="90"/>
    </row>
    <row r="360" spans="1:13" s="52" customFormat="1" ht="21.75" customHeight="1" x14ac:dyDescent="0.2">
      <c r="A360" s="66" t="s">
        <v>131</v>
      </c>
      <c r="B360" s="68" t="s">
        <v>242</v>
      </c>
      <c r="C360" s="67" t="s">
        <v>242</v>
      </c>
      <c r="D360" s="68" t="s">
        <v>510</v>
      </c>
      <c r="E360" s="68">
        <v>610</v>
      </c>
      <c r="F360" s="131">
        <f>F361</f>
        <v>1992.2</v>
      </c>
      <c r="G360" s="131">
        <f>G361</f>
        <v>2001.2</v>
      </c>
      <c r="H360" s="90"/>
      <c r="I360" s="90"/>
      <c r="J360" s="90"/>
      <c r="K360" s="90"/>
      <c r="L360" s="90"/>
      <c r="M360" s="90"/>
    </row>
    <row r="361" spans="1:13" s="52" customFormat="1" ht="22.5" customHeight="1" x14ac:dyDescent="0.2">
      <c r="A361" s="66" t="s">
        <v>133</v>
      </c>
      <c r="B361" s="68" t="s">
        <v>242</v>
      </c>
      <c r="C361" s="67" t="s">
        <v>242</v>
      </c>
      <c r="D361" s="68" t="s">
        <v>510</v>
      </c>
      <c r="E361" s="68">
        <v>611</v>
      </c>
      <c r="F361" s="131">
        <f>'ПР 8 ведом'!G260</f>
        <v>1992.2</v>
      </c>
      <c r="G361" s="131">
        <f>'ПР 8 ведом'!H260</f>
        <v>2001.2</v>
      </c>
      <c r="H361" s="90"/>
      <c r="I361" s="90"/>
      <c r="J361" s="90"/>
      <c r="K361" s="90"/>
      <c r="L361" s="90"/>
      <c r="M361" s="90"/>
    </row>
    <row r="362" spans="1:13" s="52" customFormat="1" ht="20.25" customHeight="1" x14ac:dyDescent="0.2">
      <c r="A362" s="66" t="s">
        <v>444</v>
      </c>
      <c r="B362" s="68" t="s">
        <v>242</v>
      </c>
      <c r="C362" s="67" t="s">
        <v>242</v>
      </c>
      <c r="D362" s="68" t="s">
        <v>510</v>
      </c>
      <c r="E362" s="68">
        <v>620</v>
      </c>
      <c r="F362" s="131">
        <f>F363</f>
        <v>172.2</v>
      </c>
      <c r="G362" s="131">
        <f>G363</f>
        <v>172.2</v>
      </c>
      <c r="H362" s="90"/>
      <c r="I362" s="90"/>
      <c r="J362" s="90"/>
      <c r="K362" s="90"/>
      <c r="L362" s="90"/>
      <c r="M362" s="90"/>
    </row>
    <row r="363" spans="1:13" s="52" customFormat="1" ht="21" customHeight="1" x14ac:dyDescent="0.2">
      <c r="A363" s="66" t="s">
        <v>445</v>
      </c>
      <c r="B363" s="68" t="s">
        <v>242</v>
      </c>
      <c r="C363" s="67" t="s">
        <v>242</v>
      </c>
      <c r="D363" s="68" t="s">
        <v>510</v>
      </c>
      <c r="E363" s="68">
        <v>621</v>
      </c>
      <c r="F363" s="131">
        <f>'ПР 8 ведом'!G262</f>
        <v>172.2</v>
      </c>
      <c r="G363" s="131">
        <f>'ПР 8 ведом'!H262</f>
        <v>172.2</v>
      </c>
      <c r="H363" s="90"/>
      <c r="I363" s="90"/>
      <c r="J363" s="90"/>
      <c r="K363" s="90"/>
      <c r="L363" s="90"/>
      <c r="M363" s="90"/>
    </row>
    <row r="364" spans="1:13" s="52" customFormat="1" ht="20.25" customHeight="1" x14ac:dyDescent="0.2">
      <c r="A364" s="66" t="s">
        <v>452</v>
      </c>
      <c r="B364" s="67" t="s">
        <v>242</v>
      </c>
      <c r="C364" s="67" t="s">
        <v>242</v>
      </c>
      <c r="D364" s="68" t="s">
        <v>453</v>
      </c>
      <c r="E364" s="68"/>
      <c r="F364" s="131">
        <f t="shared" ref="F364:G367" si="29">F365</f>
        <v>53.52</v>
      </c>
      <c r="G364" s="131">
        <f t="shared" si="29"/>
        <v>52.440000000000005</v>
      </c>
      <c r="H364" s="90"/>
      <c r="I364" s="90"/>
      <c r="J364" s="90"/>
      <c r="K364" s="90"/>
      <c r="L364" s="90"/>
      <c r="M364" s="90"/>
    </row>
    <row r="365" spans="1:13" s="52" customFormat="1" ht="33.75" customHeight="1" x14ac:dyDescent="0.2">
      <c r="A365" s="299" t="s">
        <v>454</v>
      </c>
      <c r="B365" s="67" t="s">
        <v>242</v>
      </c>
      <c r="C365" s="67" t="s">
        <v>242</v>
      </c>
      <c r="D365" s="68" t="s">
        <v>455</v>
      </c>
      <c r="E365" s="68"/>
      <c r="F365" s="131">
        <f t="shared" si="29"/>
        <v>53.52</v>
      </c>
      <c r="G365" s="131">
        <f t="shared" si="29"/>
        <v>52.440000000000005</v>
      </c>
      <c r="H365" s="90"/>
      <c r="I365" s="90"/>
      <c r="J365" s="90"/>
      <c r="K365" s="90"/>
      <c r="L365" s="90"/>
      <c r="M365" s="90"/>
    </row>
    <row r="366" spans="1:13" s="52" customFormat="1" ht="22.5" x14ac:dyDescent="0.2">
      <c r="A366" s="66" t="s">
        <v>149</v>
      </c>
      <c r="B366" s="67" t="s">
        <v>242</v>
      </c>
      <c r="C366" s="67" t="s">
        <v>242</v>
      </c>
      <c r="D366" s="68" t="s">
        <v>455</v>
      </c>
      <c r="E366" s="68">
        <v>200</v>
      </c>
      <c r="F366" s="131">
        <f t="shared" si="29"/>
        <v>53.52</v>
      </c>
      <c r="G366" s="131">
        <f t="shared" si="29"/>
        <v>52.440000000000005</v>
      </c>
      <c r="H366" s="148"/>
      <c r="I366" s="90"/>
      <c r="J366" s="90"/>
      <c r="K366" s="90"/>
      <c r="L366" s="90"/>
      <c r="M366" s="90"/>
    </row>
    <row r="367" spans="1:13" s="92" customFormat="1" ht="13.5" customHeight="1" x14ac:dyDescent="0.2">
      <c r="A367" s="66" t="s">
        <v>151</v>
      </c>
      <c r="B367" s="67" t="s">
        <v>242</v>
      </c>
      <c r="C367" s="67" t="s">
        <v>242</v>
      </c>
      <c r="D367" s="68" t="s">
        <v>455</v>
      </c>
      <c r="E367" s="68">
        <v>240</v>
      </c>
      <c r="F367" s="131">
        <f t="shared" si="29"/>
        <v>53.52</v>
      </c>
      <c r="G367" s="131">
        <f t="shared" si="29"/>
        <v>52.440000000000005</v>
      </c>
      <c r="H367" s="158"/>
      <c r="I367" s="158"/>
      <c r="J367" s="158"/>
      <c r="K367" s="158"/>
      <c r="L367" s="158"/>
      <c r="M367" s="158"/>
    </row>
    <row r="368" spans="1:13" s="92" customFormat="1" ht="13.5" customHeight="1" x14ac:dyDescent="0.2">
      <c r="A368" s="70" t="s">
        <v>153</v>
      </c>
      <c r="B368" s="67" t="s">
        <v>242</v>
      </c>
      <c r="C368" s="67" t="s">
        <v>242</v>
      </c>
      <c r="D368" s="68" t="s">
        <v>455</v>
      </c>
      <c r="E368" s="68">
        <v>244</v>
      </c>
      <c r="F368" s="131">
        <f>'ПР 8 ведом'!G566</f>
        <v>53.52</v>
      </c>
      <c r="G368" s="131">
        <f>'ПР 8 ведом'!H566</f>
        <v>52.440000000000005</v>
      </c>
      <c r="H368" s="158"/>
      <c r="I368" s="158"/>
      <c r="J368" s="158"/>
      <c r="K368" s="158"/>
      <c r="L368" s="158"/>
      <c r="M368" s="158"/>
    </row>
    <row r="369" spans="1:13" s="52" customFormat="1" ht="33.75" customHeight="1" x14ac:dyDescent="0.2">
      <c r="A369" s="61" t="s">
        <v>261</v>
      </c>
      <c r="B369" s="96" t="s">
        <v>242</v>
      </c>
      <c r="C369" s="94" t="s">
        <v>262</v>
      </c>
      <c r="D369" s="96" t="s">
        <v>183</v>
      </c>
      <c r="E369" s="96" t="s">
        <v>184</v>
      </c>
      <c r="F369" s="138">
        <f>F370+F399</f>
        <v>9235.7052000000003</v>
      </c>
      <c r="G369" s="138">
        <f>G370+G399</f>
        <v>11608.173400000001</v>
      </c>
      <c r="H369" s="90"/>
      <c r="I369" s="90"/>
      <c r="J369" s="90"/>
      <c r="K369" s="90"/>
      <c r="L369" s="90"/>
      <c r="M369" s="90"/>
    </row>
    <row r="370" spans="1:13" s="92" customFormat="1" ht="15.75" customHeight="1" x14ac:dyDescent="0.2">
      <c r="A370" s="83" t="s">
        <v>263</v>
      </c>
      <c r="B370" s="68" t="s">
        <v>242</v>
      </c>
      <c r="C370" s="67" t="s">
        <v>262</v>
      </c>
      <c r="D370" s="68" t="s">
        <v>264</v>
      </c>
      <c r="E370" s="96"/>
      <c r="F370" s="131">
        <f>F371+F393+F376</f>
        <v>8851.4052000000011</v>
      </c>
      <c r="G370" s="131">
        <f>G371+G393+G376</f>
        <v>11221.373400000002</v>
      </c>
      <c r="H370" s="158"/>
      <c r="I370" s="158"/>
      <c r="J370" s="158"/>
      <c r="K370" s="158"/>
      <c r="L370" s="158"/>
      <c r="M370" s="158"/>
    </row>
    <row r="371" spans="1:13" s="52" customFormat="1" ht="21.75" customHeight="1" x14ac:dyDescent="0.2">
      <c r="A371" s="66" t="s">
        <v>265</v>
      </c>
      <c r="B371" s="68" t="s">
        <v>242</v>
      </c>
      <c r="C371" s="67" t="s">
        <v>262</v>
      </c>
      <c r="D371" s="68" t="s">
        <v>266</v>
      </c>
      <c r="E371" s="68"/>
      <c r="F371" s="131">
        <f>F372</f>
        <v>856.76600000000008</v>
      </c>
      <c r="G371" s="131">
        <f>G372</f>
        <v>839.4770000000002</v>
      </c>
      <c r="H371" s="90"/>
      <c r="I371" s="90"/>
      <c r="J371" s="90"/>
      <c r="K371" s="90"/>
      <c r="L371" s="90"/>
      <c r="M371" s="90"/>
    </row>
    <row r="372" spans="1:13" s="52" customFormat="1" ht="21.75" customHeight="1" x14ac:dyDescent="0.2">
      <c r="A372" s="66" t="s">
        <v>139</v>
      </c>
      <c r="B372" s="68" t="s">
        <v>242</v>
      </c>
      <c r="C372" s="67" t="s">
        <v>262</v>
      </c>
      <c r="D372" s="68" t="s">
        <v>266</v>
      </c>
      <c r="E372" s="68">
        <v>100</v>
      </c>
      <c r="F372" s="131">
        <f>F373</f>
        <v>856.76600000000008</v>
      </c>
      <c r="G372" s="131">
        <f>G373</f>
        <v>839.4770000000002</v>
      </c>
      <c r="H372" s="90"/>
      <c r="I372" s="90"/>
      <c r="J372" s="90"/>
      <c r="K372" s="90"/>
      <c r="L372" s="90"/>
      <c r="M372" s="90"/>
    </row>
    <row r="373" spans="1:13" s="52" customFormat="1" ht="16.5" customHeight="1" x14ac:dyDescent="0.2">
      <c r="A373" s="66" t="s">
        <v>168</v>
      </c>
      <c r="B373" s="68" t="s">
        <v>242</v>
      </c>
      <c r="C373" s="67" t="s">
        <v>262</v>
      </c>
      <c r="D373" s="68" t="s">
        <v>266</v>
      </c>
      <c r="E373" s="68">
        <v>120</v>
      </c>
      <c r="F373" s="131">
        <f>F374+F375</f>
        <v>856.76600000000008</v>
      </c>
      <c r="G373" s="131">
        <f>G374+G375</f>
        <v>839.4770000000002</v>
      </c>
      <c r="H373" s="90"/>
      <c r="I373" s="90"/>
      <c r="J373" s="90"/>
      <c r="K373" s="90"/>
      <c r="L373" s="90"/>
      <c r="M373" s="90"/>
    </row>
    <row r="374" spans="1:13" s="52" customFormat="1" ht="35.25" customHeight="1" x14ac:dyDescent="0.2">
      <c r="A374" s="69" t="s">
        <v>169</v>
      </c>
      <c r="B374" s="68" t="s">
        <v>242</v>
      </c>
      <c r="C374" s="67" t="s">
        <v>262</v>
      </c>
      <c r="D374" s="68" t="s">
        <v>266</v>
      </c>
      <c r="E374" s="68">
        <v>121</v>
      </c>
      <c r="F374" s="131">
        <f>'ПР 8 ведом'!G268</f>
        <v>658.02840000000003</v>
      </c>
      <c r="G374" s="131">
        <f>'ПР 8 ведом'!H268</f>
        <v>644.74980000000016</v>
      </c>
      <c r="H374" s="90"/>
      <c r="I374" s="90"/>
      <c r="J374" s="90"/>
      <c r="K374" s="90"/>
      <c r="L374" s="90"/>
      <c r="M374" s="90"/>
    </row>
    <row r="375" spans="1:13" s="52" customFormat="1" ht="35.25" customHeight="1" x14ac:dyDescent="0.2">
      <c r="A375" s="69" t="s">
        <v>170</v>
      </c>
      <c r="B375" s="68" t="s">
        <v>242</v>
      </c>
      <c r="C375" s="67" t="s">
        <v>262</v>
      </c>
      <c r="D375" s="68" t="s">
        <v>266</v>
      </c>
      <c r="E375" s="68">
        <v>129</v>
      </c>
      <c r="F375" s="131">
        <f>'ПР 8 ведом'!G269</f>
        <v>198.73760000000001</v>
      </c>
      <c r="G375" s="131">
        <f>'ПР 8 ведом'!H269</f>
        <v>194.72720000000004</v>
      </c>
      <c r="H375" s="90"/>
      <c r="I375" s="90"/>
      <c r="J375" s="90"/>
      <c r="K375" s="90"/>
      <c r="L375" s="90"/>
      <c r="M375" s="90"/>
    </row>
    <row r="376" spans="1:13" s="52" customFormat="1" ht="35.25" customHeight="1" x14ac:dyDescent="0.2">
      <c r="A376" s="66" t="s">
        <v>267</v>
      </c>
      <c r="B376" s="68" t="s">
        <v>242</v>
      </c>
      <c r="C376" s="67" t="s">
        <v>262</v>
      </c>
      <c r="D376" s="68" t="s">
        <v>268</v>
      </c>
      <c r="E376" s="68" t="s">
        <v>184</v>
      </c>
      <c r="F376" s="131">
        <f>F377+F381+F384+F388</f>
        <v>7414.8392000000003</v>
      </c>
      <c r="G376" s="131">
        <f>G377+G381+G384+G388</f>
        <v>7265.2124000000013</v>
      </c>
      <c r="H376" s="90"/>
      <c r="I376" s="90"/>
      <c r="J376" s="90"/>
      <c r="K376" s="90"/>
      <c r="L376" s="90"/>
      <c r="M376" s="90"/>
    </row>
    <row r="377" spans="1:13" s="52" customFormat="1" ht="45" x14ac:dyDescent="0.2">
      <c r="A377" s="66" t="s">
        <v>139</v>
      </c>
      <c r="B377" s="68" t="s">
        <v>242</v>
      </c>
      <c r="C377" s="67" t="s">
        <v>262</v>
      </c>
      <c r="D377" s="68" t="s">
        <v>269</v>
      </c>
      <c r="E377" s="68" t="s">
        <v>140</v>
      </c>
      <c r="F377" s="131">
        <f>F378</f>
        <v>6746.1959999999999</v>
      </c>
      <c r="G377" s="131">
        <f>G378</f>
        <v>6610.0620000000017</v>
      </c>
      <c r="H377" s="90"/>
      <c r="I377" s="90"/>
      <c r="J377" s="90"/>
      <c r="K377" s="90"/>
      <c r="L377" s="90"/>
      <c r="M377" s="90"/>
    </row>
    <row r="378" spans="1:13" s="52" customFormat="1" x14ac:dyDescent="0.2">
      <c r="A378" s="66" t="s">
        <v>141</v>
      </c>
      <c r="B378" s="68" t="s">
        <v>242</v>
      </c>
      <c r="C378" s="67" t="s">
        <v>262</v>
      </c>
      <c r="D378" s="68" t="s">
        <v>269</v>
      </c>
      <c r="E378" s="68">
        <v>110</v>
      </c>
      <c r="F378" s="131">
        <f>F379+F380</f>
        <v>6746.1959999999999</v>
      </c>
      <c r="G378" s="131">
        <f>G379+G380</f>
        <v>6610.0620000000017</v>
      </c>
      <c r="H378" s="90"/>
      <c r="I378" s="90"/>
      <c r="J378" s="90"/>
      <c r="K378" s="90"/>
      <c r="L378" s="90"/>
      <c r="M378" s="90"/>
    </row>
    <row r="379" spans="1:13" s="52" customFormat="1" x14ac:dyDescent="0.2">
      <c r="A379" s="66" t="s">
        <v>142</v>
      </c>
      <c r="B379" s="68" t="s">
        <v>242</v>
      </c>
      <c r="C379" s="67" t="s">
        <v>262</v>
      </c>
      <c r="D379" s="68" t="s">
        <v>269</v>
      </c>
      <c r="E379" s="68">
        <v>111</v>
      </c>
      <c r="F379" s="131">
        <f>'ПР 8 ведом'!G273</f>
        <v>5181.4495999999999</v>
      </c>
      <c r="G379" s="131">
        <f>'ПР 8 ведом'!H273</f>
        <v>5076.8912000000009</v>
      </c>
      <c r="H379" s="90"/>
      <c r="I379" s="90"/>
      <c r="J379" s="90"/>
      <c r="K379" s="90"/>
      <c r="L379" s="90"/>
      <c r="M379" s="90"/>
    </row>
    <row r="380" spans="1:13" s="52" customFormat="1" ht="34.5" customHeight="1" x14ac:dyDescent="0.2">
      <c r="A380" s="69" t="s">
        <v>143</v>
      </c>
      <c r="B380" s="68" t="s">
        <v>242</v>
      </c>
      <c r="C380" s="67" t="s">
        <v>262</v>
      </c>
      <c r="D380" s="68" t="s">
        <v>269</v>
      </c>
      <c r="E380" s="68">
        <v>119</v>
      </c>
      <c r="F380" s="131">
        <f>'ПР 8 ведом'!G274</f>
        <v>1564.7464</v>
      </c>
      <c r="G380" s="131">
        <f>'ПР 8 ведом'!H274</f>
        <v>1533.1708000000003</v>
      </c>
      <c r="H380" s="90"/>
      <c r="I380" s="90"/>
      <c r="J380" s="90"/>
      <c r="K380" s="90"/>
      <c r="L380" s="90"/>
      <c r="M380" s="90"/>
    </row>
    <row r="381" spans="1:13" s="52" customFormat="1" ht="34.5" customHeight="1" x14ac:dyDescent="0.2">
      <c r="A381" s="83" t="s">
        <v>139</v>
      </c>
      <c r="B381" s="68" t="s">
        <v>242</v>
      </c>
      <c r="C381" s="67" t="s">
        <v>262</v>
      </c>
      <c r="D381" s="68" t="s">
        <v>270</v>
      </c>
      <c r="E381" s="68">
        <v>100</v>
      </c>
      <c r="F381" s="131">
        <f>F382</f>
        <v>17.84</v>
      </c>
      <c r="G381" s="131">
        <f>G382</f>
        <v>17.480000000000004</v>
      </c>
      <c r="H381" s="90"/>
      <c r="I381" s="90"/>
      <c r="J381" s="90"/>
      <c r="K381" s="90"/>
      <c r="L381" s="90"/>
      <c r="M381" s="90"/>
    </row>
    <row r="382" spans="1:13" s="52" customFormat="1" ht="34.5" customHeight="1" x14ac:dyDescent="0.2">
      <c r="A382" s="83" t="s">
        <v>168</v>
      </c>
      <c r="B382" s="68" t="s">
        <v>242</v>
      </c>
      <c r="C382" s="67" t="s">
        <v>262</v>
      </c>
      <c r="D382" s="68" t="s">
        <v>270</v>
      </c>
      <c r="E382" s="68">
        <v>120</v>
      </c>
      <c r="F382" s="131">
        <f>F383</f>
        <v>17.84</v>
      </c>
      <c r="G382" s="131">
        <f>G383</f>
        <v>17.480000000000004</v>
      </c>
      <c r="H382" s="90"/>
      <c r="I382" s="90"/>
      <c r="J382" s="90"/>
      <c r="K382" s="90"/>
      <c r="L382" s="90"/>
      <c r="M382" s="90"/>
    </row>
    <row r="383" spans="1:13" s="52" customFormat="1" ht="34.5" customHeight="1" x14ac:dyDescent="0.2">
      <c r="A383" s="69" t="s">
        <v>293</v>
      </c>
      <c r="B383" s="68" t="s">
        <v>242</v>
      </c>
      <c r="C383" s="67" t="s">
        <v>262</v>
      </c>
      <c r="D383" s="68" t="s">
        <v>270</v>
      </c>
      <c r="E383" s="68">
        <v>122</v>
      </c>
      <c r="F383" s="131">
        <f>'ПР 8 ведом'!G277</f>
        <v>17.84</v>
      </c>
      <c r="G383" s="131">
        <f>'ПР 8 ведом'!H277</f>
        <v>17.480000000000004</v>
      </c>
      <c r="H383" s="90"/>
      <c r="I383" s="90"/>
      <c r="J383" s="90"/>
      <c r="K383" s="90"/>
      <c r="L383" s="90"/>
      <c r="M383" s="90"/>
    </row>
    <row r="384" spans="1:13" s="52" customFormat="1" ht="25.5" customHeight="1" x14ac:dyDescent="0.2">
      <c r="A384" s="66" t="s">
        <v>149</v>
      </c>
      <c r="B384" s="68" t="s">
        <v>242</v>
      </c>
      <c r="C384" s="67" t="s">
        <v>262</v>
      </c>
      <c r="D384" s="68" t="s">
        <v>270</v>
      </c>
      <c r="E384" s="68" t="s">
        <v>150</v>
      </c>
      <c r="F384" s="131">
        <f>F385</f>
        <v>622.25920000000008</v>
      </c>
      <c r="G384" s="131">
        <f>G385</f>
        <v>609.70240000000013</v>
      </c>
      <c r="H384" s="90"/>
      <c r="I384" s="90"/>
      <c r="J384" s="90"/>
      <c r="K384" s="90"/>
      <c r="L384" s="90"/>
      <c r="M384" s="90"/>
    </row>
    <row r="385" spans="1:13" s="52" customFormat="1" ht="22.5" x14ac:dyDescent="0.2">
      <c r="A385" s="66" t="s">
        <v>151</v>
      </c>
      <c r="B385" s="68" t="s">
        <v>242</v>
      </c>
      <c r="C385" s="67" t="s">
        <v>262</v>
      </c>
      <c r="D385" s="68" t="s">
        <v>270</v>
      </c>
      <c r="E385" s="68" t="s">
        <v>152</v>
      </c>
      <c r="F385" s="131">
        <f>F387+F386</f>
        <v>622.25920000000008</v>
      </c>
      <c r="G385" s="131">
        <f>G387+G386</f>
        <v>609.70240000000013</v>
      </c>
      <c r="H385" s="90"/>
      <c r="I385" s="90"/>
      <c r="J385" s="90"/>
      <c r="K385" s="90"/>
      <c r="L385" s="90"/>
      <c r="M385" s="90"/>
    </row>
    <row r="386" spans="1:13" s="52" customFormat="1" ht="24.75" customHeight="1" x14ac:dyDescent="0.2">
      <c r="A386" s="70" t="s">
        <v>171</v>
      </c>
      <c r="B386" s="68" t="s">
        <v>242</v>
      </c>
      <c r="C386" s="67" t="s">
        <v>262</v>
      </c>
      <c r="D386" s="68" t="s">
        <v>270</v>
      </c>
      <c r="E386" s="68">
        <v>242</v>
      </c>
      <c r="F386" s="131">
        <f>'ПР 8 ведом'!G280</f>
        <v>178.4</v>
      </c>
      <c r="G386" s="131">
        <f>'ПР 8 ведом'!H280</f>
        <v>174.8</v>
      </c>
      <c r="H386" s="90"/>
      <c r="I386" s="90"/>
      <c r="J386" s="90"/>
      <c r="K386" s="90"/>
      <c r="L386" s="90"/>
      <c r="M386" s="90"/>
    </row>
    <row r="387" spans="1:13" s="52" customFormat="1" ht="14.25" customHeight="1" x14ac:dyDescent="0.2">
      <c r="A387" s="70" t="s">
        <v>153</v>
      </c>
      <c r="B387" s="68" t="s">
        <v>242</v>
      </c>
      <c r="C387" s="67" t="s">
        <v>262</v>
      </c>
      <c r="D387" s="68" t="s">
        <v>270</v>
      </c>
      <c r="E387" s="68" t="s">
        <v>154</v>
      </c>
      <c r="F387" s="131">
        <f>'ПР 8 ведом'!G281</f>
        <v>443.85920000000004</v>
      </c>
      <c r="G387" s="131">
        <f>'ПР 8 ведом'!H281</f>
        <v>434.90240000000006</v>
      </c>
      <c r="H387" s="90"/>
      <c r="I387" s="90"/>
      <c r="J387" s="90"/>
      <c r="K387" s="90"/>
      <c r="L387" s="90"/>
      <c r="M387" s="90"/>
    </row>
    <row r="388" spans="1:13" s="52" customFormat="1" ht="33.75" customHeight="1" x14ac:dyDescent="0.2">
      <c r="A388" s="70" t="s">
        <v>172</v>
      </c>
      <c r="B388" s="68" t="s">
        <v>242</v>
      </c>
      <c r="C388" s="67" t="s">
        <v>262</v>
      </c>
      <c r="D388" s="68" t="s">
        <v>270</v>
      </c>
      <c r="E388" s="68" t="s">
        <v>235</v>
      </c>
      <c r="F388" s="131">
        <f>F389</f>
        <v>28.544</v>
      </c>
      <c r="G388" s="131">
        <f>G389</f>
        <v>27.968000000000004</v>
      </c>
      <c r="H388" s="90"/>
      <c r="I388" s="90"/>
      <c r="J388" s="90"/>
      <c r="K388" s="90"/>
      <c r="L388" s="90"/>
      <c r="M388" s="90"/>
    </row>
    <row r="389" spans="1:13" s="283" customFormat="1" ht="12.75" customHeight="1" x14ac:dyDescent="0.2">
      <c r="A389" s="70" t="s">
        <v>173</v>
      </c>
      <c r="B389" s="68" t="s">
        <v>242</v>
      </c>
      <c r="C389" s="67" t="s">
        <v>262</v>
      </c>
      <c r="D389" s="68" t="s">
        <v>270</v>
      </c>
      <c r="E389" s="68" t="s">
        <v>174</v>
      </c>
      <c r="F389" s="131">
        <f>F390+F391+F392</f>
        <v>28.544</v>
      </c>
      <c r="G389" s="131">
        <f>G390+G391+G392</f>
        <v>27.968000000000004</v>
      </c>
      <c r="H389" s="282"/>
      <c r="I389" s="282"/>
      <c r="J389" s="282"/>
      <c r="K389" s="282"/>
      <c r="L389" s="282"/>
      <c r="M389" s="282"/>
    </row>
    <row r="390" spans="1:13" s="52" customFormat="1" ht="33" customHeight="1" x14ac:dyDescent="0.2">
      <c r="A390" s="75" t="s">
        <v>175</v>
      </c>
      <c r="B390" s="68" t="s">
        <v>242</v>
      </c>
      <c r="C390" s="67" t="s">
        <v>262</v>
      </c>
      <c r="D390" s="68" t="s">
        <v>270</v>
      </c>
      <c r="E390" s="68" t="s">
        <v>176</v>
      </c>
      <c r="F390" s="131">
        <f>'ПР 8 ведом'!G284</f>
        <v>4.6383999999999999</v>
      </c>
      <c r="G390" s="131">
        <f>'ПР 8 ведом'!H284</f>
        <v>4.5448000000000004</v>
      </c>
      <c r="H390" s="90"/>
      <c r="I390" s="90"/>
      <c r="J390" s="90"/>
      <c r="K390" s="90"/>
      <c r="L390" s="90"/>
      <c r="M390" s="90"/>
    </row>
    <row r="391" spans="1:13" s="52" customFormat="1" ht="19.5" customHeight="1" x14ac:dyDescent="0.2">
      <c r="A391" s="70" t="s">
        <v>236</v>
      </c>
      <c r="B391" s="68" t="s">
        <v>242</v>
      </c>
      <c r="C391" s="67" t="s">
        <v>262</v>
      </c>
      <c r="D391" s="68" t="s">
        <v>270</v>
      </c>
      <c r="E391" s="68">
        <v>852</v>
      </c>
      <c r="F391" s="131">
        <f>'ПР 8 ведом'!G285</f>
        <v>2.6760000000000002</v>
      </c>
      <c r="G391" s="131">
        <f>'ПР 8 ведом'!H285</f>
        <v>2.6220000000000003</v>
      </c>
      <c r="H391" s="90"/>
      <c r="I391" s="90"/>
      <c r="J391" s="90"/>
      <c r="K391" s="90"/>
      <c r="L391" s="90"/>
      <c r="M391" s="90"/>
    </row>
    <row r="392" spans="1:13" s="52" customFormat="1" ht="19.5" customHeight="1" x14ac:dyDescent="0.2">
      <c r="A392" s="70" t="s">
        <v>564</v>
      </c>
      <c r="B392" s="68" t="s">
        <v>242</v>
      </c>
      <c r="C392" s="67" t="s">
        <v>262</v>
      </c>
      <c r="D392" s="68" t="s">
        <v>270</v>
      </c>
      <c r="E392" s="68">
        <v>853</v>
      </c>
      <c r="F392" s="131">
        <f>'ПР 8 ведом'!G286</f>
        <v>21.229600000000001</v>
      </c>
      <c r="G392" s="131">
        <f>'ПР 8 ведом'!H286</f>
        <v>20.801200000000001</v>
      </c>
      <c r="H392" s="90"/>
      <c r="I392" s="90"/>
      <c r="J392" s="90"/>
      <c r="K392" s="90"/>
      <c r="L392" s="90"/>
      <c r="M392" s="90"/>
    </row>
    <row r="393" spans="1:13" s="52" customFormat="1" ht="14.25" customHeight="1" x14ac:dyDescent="0.2">
      <c r="A393" s="66" t="s">
        <v>271</v>
      </c>
      <c r="B393" s="68" t="s">
        <v>242</v>
      </c>
      <c r="C393" s="67" t="s">
        <v>262</v>
      </c>
      <c r="D393" s="68" t="s">
        <v>272</v>
      </c>
      <c r="E393" s="68"/>
      <c r="F393" s="131">
        <f>F394+F397</f>
        <v>579.79999999999995</v>
      </c>
      <c r="G393" s="131">
        <f>G394+G397</f>
        <v>3116.6840000000007</v>
      </c>
      <c r="H393" s="90"/>
      <c r="I393" s="90"/>
      <c r="J393" s="90"/>
      <c r="K393" s="90"/>
      <c r="L393" s="90"/>
      <c r="M393" s="90"/>
    </row>
    <row r="394" spans="1:13" s="52" customFormat="1" ht="14.25" customHeight="1" x14ac:dyDescent="0.2">
      <c r="A394" s="83" t="s">
        <v>650</v>
      </c>
      <c r="B394" s="68" t="s">
        <v>242</v>
      </c>
      <c r="C394" s="67" t="s">
        <v>262</v>
      </c>
      <c r="D394" s="68" t="s">
        <v>272</v>
      </c>
      <c r="E394" s="68">
        <v>200</v>
      </c>
      <c r="F394" s="131">
        <f>F395</f>
        <v>288.11599999999999</v>
      </c>
      <c r="G394" s="131">
        <f>G395</f>
        <v>2830.8860000000004</v>
      </c>
      <c r="H394" s="90"/>
      <c r="I394" s="90"/>
      <c r="J394" s="90"/>
      <c r="K394" s="90"/>
      <c r="L394" s="90"/>
      <c r="M394" s="90"/>
    </row>
    <row r="395" spans="1:13" s="52" customFormat="1" ht="14.25" customHeight="1" x14ac:dyDescent="0.2">
      <c r="A395" s="83" t="s">
        <v>151</v>
      </c>
      <c r="B395" s="68" t="s">
        <v>242</v>
      </c>
      <c r="C395" s="67" t="s">
        <v>262</v>
      </c>
      <c r="D395" s="68" t="s">
        <v>272</v>
      </c>
      <c r="E395" s="68">
        <v>240</v>
      </c>
      <c r="F395" s="131">
        <f>F396</f>
        <v>288.11599999999999</v>
      </c>
      <c r="G395" s="131">
        <f>G396</f>
        <v>2830.8860000000004</v>
      </c>
      <c r="H395" s="90"/>
      <c r="I395" s="90"/>
      <c r="J395" s="90"/>
      <c r="K395" s="90"/>
      <c r="L395" s="90"/>
      <c r="M395" s="90"/>
    </row>
    <row r="396" spans="1:13" s="52" customFormat="1" ht="14.25" customHeight="1" x14ac:dyDescent="0.2">
      <c r="A396" s="115" t="s">
        <v>153</v>
      </c>
      <c r="B396" s="68" t="s">
        <v>242</v>
      </c>
      <c r="C396" s="67" t="s">
        <v>262</v>
      </c>
      <c r="D396" s="68" t="s">
        <v>272</v>
      </c>
      <c r="E396" s="68">
        <v>244</v>
      </c>
      <c r="F396" s="131">
        <f>'ПР 8 ведом'!G290</f>
        <v>288.11599999999999</v>
      </c>
      <c r="G396" s="131">
        <f>'ПР 8 ведом'!H290</f>
        <v>2830.8860000000004</v>
      </c>
      <c r="H396" s="90"/>
      <c r="I396" s="90"/>
      <c r="J396" s="90"/>
      <c r="K396" s="90"/>
      <c r="L396" s="90"/>
      <c r="M396" s="90"/>
    </row>
    <row r="397" spans="1:13" s="52" customFormat="1" ht="20.25" customHeight="1" x14ac:dyDescent="0.2">
      <c r="A397" s="66" t="s">
        <v>273</v>
      </c>
      <c r="B397" s="68" t="s">
        <v>242</v>
      </c>
      <c r="C397" s="67" t="s">
        <v>262</v>
      </c>
      <c r="D397" s="68" t="s">
        <v>272</v>
      </c>
      <c r="E397" s="68">
        <v>300</v>
      </c>
      <c r="F397" s="131">
        <f>F398</f>
        <v>291.68400000000003</v>
      </c>
      <c r="G397" s="131">
        <f>G398</f>
        <v>285.79800000000006</v>
      </c>
      <c r="H397" s="90"/>
      <c r="I397" s="90"/>
      <c r="J397" s="90"/>
      <c r="K397" s="90"/>
      <c r="L397" s="90"/>
      <c r="M397" s="90"/>
    </row>
    <row r="398" spans="1:13" s="52" customFormat="1" ht="20.25" customHeight="1" x14ac:dyDescent="0.2">
      <c r="A398" s="66" t="s">
        <v>274</v>
      </c>
      <c r="B398" s="68" t="s">
        <v>242</v>
      </c>
      <c r="C398" s="67" t="s">
        <v>262</v>
      </c>
      <c r="D398" s="68" t="s">
        <v>272</v>
      </c>
      <c r="E398" s="68">
        <v>350</v>
      </c>
      <c r="F398" s="131">
        <f>'ПР 8 ведом'!G292</f>
        <v>291.68400000000003</v>
      </c>
      <c r="G398" s="131">
        <f>'ПР 8 ведом'!H292</f>
        <v>285.79800000000006</v>
      </c>
      <c r="H398" s="90"/>
      <c r="I398" s="90"/>
      <c r="J398" s="90"/>
      <c r="K398" s="90"/>
      <c r="L398" s="90"/>
      <c r="M398" s="90"/>
    </row>
    <row r="399" spans="1:13" s="283" customFormat="1" ht="20.25" customHeight="1" x14ac:dyDescent="0.2">
      <c r="A399" s="85" t="s">
        <v>81</v>
      </c>
      <c r="B399" s="68" t="s">
        <v>242</v>
      </c>
      <c r="C399" s="67" t="s">
        <v>262</v>
      </c>
      <c r="D399" s="68" t="s">
        <v>446</v>
      </c>
      <c r="E399" s="84" t="s">
        <v>184</v>
      </c>
      <c r="F399" s="135">
        <f>F400+F405</f>
        <v>384.29999999999995</v>
      </c>
      <c r="G399" s="135">
        <f>G400+G405</f>
        <v>386.79999999999995</v>
      </c>
      <c r="H399" s="282"/>
      <c r="I399" s="282"/>
      <c r="J399" s="282"/>
      <c r="K399" s="282"/>
      <c r="L399" s="282"/>
      <c r="M399" s="282"/>
    </row>
    <row r="400" spans="1:13" s="283" customFormat="1" ht="20.25" customHeight="1" x14ac:dyDescent="0.2">
      <c r="A400" s="66" t="s">
        <v>139</v>
      </c>
      <c r="B400" s="68" t="s">
        <v>242</v>
      </c>
      <c r="C400" s="67" t="s">
        <v>262</v>
      </c>
      <c r="D400" s="68" t="s">
        <v>446</v>
      </c>
      <c r="E400" s="72">
        <v>100</v>
      </c>
      <c r="F400" s="139">
        <f>F401</f>
        <v>367.59999999999997</v>
      </c>
      <c r="G400" s="139">
        <f>G401</f>
        <v>367.59999999999997</v>
      </c>
      <c r="H400" s="282"/>
      <c r="I400" s="282"/>
      <c r="J400" s="282"/>
      <c r="K400" s="282"/>
      <c r="L400" s="282"/>
      <c r="M400" s="282"/>
    </row>
    <row r="401" spans="1:13" s="283" customFormat="1" ht="20.25" customHeight="1" x14ac:dyDescent="0.2">
      <c r="A401" s="66" t="s">
        <v>168</v>
      </c>
      <c r="B401" s="68" t="s">
        <v>242</v>
      </c>
      <c r="C401" s="67" t="s">
        <v>262</v>
      </c>
      <c r="D401" s="68" t="s">
        <v>446</v>
      </c>
      <c r="E401" s="72">
        <v>120</v>
      </c>
      <c r="F401" s="139">
        <f>F402+F403+F404</f>
        <v>367.59999999999997</v>
      </c>
      <c r="G401" s="139">
        <f>G402+G403+G404</f>
        <v>367.59999999999997</v>
      </c>
      <c r="H401" s="282"/>
      <c r="I401" s="282"/>
      <c r="J401" s="282"/>
      <c r="K401" s="282"/>
      <c r="L401" s="282"/>
      <c r="M401" s="282"/>
    </row>
    <row r="402" spans="1:13" s="52" customFormat="1" ht="13.5" customHeight="1" x14ac:dyDescent="0.2">
      <c r="A402" s="69" t="s">
        <v>169</v>
      </c>
      <c r="B402" s="68" t="s">
        <v>242</v>
      </c>
      <c r="C402" s="67" t="s">
        <v>262</v>
      </c>
      <c r="D402" s="68" t="s">
        <v>446</v>
      </c>
      <c r="E402" s="72">
        <v>121</v>
      </c>
      <c r="F402" s="139">
        <f>'ПР 8 ведом'!G571</f>
        <v>270.39999999999998</v>
      </c>
      <c r="G402" s="139">
        <f>'ПР 8 ведом'!H571</f>
        <v>270.39999999999998</v>
      </c>
      <c r="H402" s="90"/>
      <c r="I402" s="90"/>
      <c r="J402" s="90"/>
      <c r="K402" s="90"/>
      <c r="L402" s="90"/>
      <c r="M402" s="90"/>
    </row>
    <row r="403" spans="1:13" s="52" customFormat="1" ht="13.5" customHeight="1" x14ac:dyDescent="0.2">
      <c r="A403" s="69" t="s">
        <v>293</v>
      </c>
      <c r="B403" s="68" t="s">
        <v>242</v>
      </c>
      <c r="C403" s="67" t="s">
        <v>262</v>
      </c>
      <c r="D403" s="68" t="s">
        <v>446</v>
      </c>
      <c r="E403" s="68">
        <v>122</v>
      </c>
      <c r="F403" s="139">
        <f>'ПР 8 ведом'!G572</f>
        <v>15.5</v>
      </c>
      <c r="G403" s="139">
        <f>'ПР 8 ведом'!H572</f>
        <v>15.5</v>
      </c>
      <c r="H403" s="90"/>
      <c r="I403" s="90"/>
      <c r="J403" s="90"/>
      <c r="K403" s="90"/>
      <c r="L403" s="90"/>
      <c r="M403" s="90"/>
    </row>
    <row r="404" spans="1:13" s="52" customFormat="1" ht="13.5" customHeight="1" x14ac:dyDescent="0.2">
      <c r="A404" s="69" t="s">
        <v>170</v>
      </c>
      <c r="B404" s="68" t="s">
        <v>242</v>
      </c>
      <c r="C404" s="67" t="s">
        <v>262</v>
      </c>
      <c r="D404" s="68" t="s">
        <v>446</v>
      </c>
      <c r="E404" s="68">
        <v>129</v>
      </c>
      <c r="F404" s="139">
        <f>'ПР 8 ведом'!G573</f>
        <v>81.7</v>
      </c>
      <c r="G404" s="139">
        <f>'ПР 8 ведом'!H573</f>
        <v>81.7</v>
      </c>
      <c r="H404" s="90"/>
      <c r="I404" s="90"/>
      <c r="J404" s="90"/>
      <c r="K404" s="90"/>
      <c r="L404" s="90"/>
      <c r="M404" s="90"/>
    </row>
    <row r="405" spans="1:13" s="52" customFormat="1" ht="13.5" customHeight="1" x14ac:dyDescent="0.2">
      <c r="A405" s="66" t="s">
        <v>149</v>
      </c>
      <c r="B405" s="68" t="s">
        <v>242</v>
      </c>
      <c r="C405" s="67" t="s">
        <v>262</v>
      </c>
      <c r="D405" s="68" t="s">
        <v>446</v>
      </c>
      <c r="E405" s="68" t="s">
        <v>150</v>
      </c>
      <c r="F405" s="131">
        <f>F406</f>
        <v>16.7</v>
      </c>
      <c r="G405" s="131">
        <f>G406</f>
        <v>19.2</v>
      </c>
      <c r="H405" s="90"/>
      <c r="I405" s="90"/>
      <c r="J405" s="90"/>
      <c r="K405" s="90"/>
      <c r="L405" s="90"/>
      <c r="M405" s="90"/>
    </row>
    <row r="406" spans="1:13" s="52" customFormat="1" ht="24.75" customHeight="1" x14ac:dyDescent="0.2">
      <c r="A406" s="66" t="s">
        <v>151</v>
      </c>
      <c r="B406" s="68" t="s">
        <v>242</v>
      </c>
      <c r="C406" s="67" t="s">
        <v>262</v>
      </c>
      <c r="D406" s="68" t="s">
        <v>446</v>
      </c>
      <c r="E406" s="68" t="s">
        <v>152</v>
      </c>
      <c r="F406" s="131">
        <f>F408+F407</f>
        <v>16.7</v>
      </c>
      <c r="G406" s="131">
        <f>G408+G407</f>
        <v>19.2</v>
      </c>
      <c r="H406" s="90"/>
      <c r="I406" s="90"/>
      <c r="J406" s="90"/>
      <c r="K406" s="90"/>
      <c r="L406" s="90"/>
      <c r="M406" s="90"/>
    </row>
    <row r="407" spans="1:13" s="283" customFormat="1" ht="18.75" customHeight="1" x14ac:dyDescent="0.2">
      <c r="A407" s="70" t="s">
        <v>171</v>
      </c>
      <c r="B407" s="68" t="s">
        <v>242</v>
      </c>
      <c r="C407" s="67" t="s">
        <v>262</v>
      </c>
      <c r="D407" s="68" t="s">
        <v>446</v>
      </c>
      <c r="E407" s="68">
        <v>242</v>
      </c>
      <c r="F407" s="131">
        <f>'ПР 8 ведом'!G576</f>
        <v>5</v>
      </c>
      <c r="G407" s="131">
        <f>'ПР 8 ведом'!H576</f>
        <v>5</v>
      </c>
      <c r="H407" s="282"/>
      <c r="I407" s="282"/>
      <c r="J407" s="282"/>
      <c r="K407" s="282"/>
      <c r="L407" s="282"/>
      <c r="M407" s="282"/>
    </row>
    <row r="408" spans="1:13" s="283" customFormat="1" ht="17.25" customHeight="1" x14ac:dyDescent="0.2">
      <c r="A408" s="70" t="s">
        <v>153</v>
      </c>
      <c r="B408" s="68" t="s">
        <v>242</v>
      </c>
      <c r="C408" s="67" t="s">
        <v>262</v>
      </c>
      <c r="D408" s="68" t="s">
        <v>446</v>
      </c>
      <c r="E408" s="68" t="s">
        <v>154</v>
      </c>
      <c r="F408" s="131">
        <f>'ПР 8 ведом'!G577</f>
        <v>11.7</v>
      </c>
      <c r="G408" s="131">
        <f>'ПР 8 ведом'!H577</f>
        <v>14.2</v>
      </c>
      <c r="H408" s="282"/>
      <c r="I408" s="282"/>
      <c r="J408" s="282"/>
      <c r="K408" s="282"/>
      <c r="L408" s="282"/>
      <c r="M408" s="282"/>
    </row>
    <row r="409" spans="1:13" s="283" customFormat="1" ht="17.25" customHeight="1" x14ac:dyDescent="0.2">
      <c r="A409" s="341" t="s">
        <v>648</v>
      </c>
      <c r="B409" s="337" t="s">
        <v>120</v>
      </c>
      <c r="C409" s="337"/>
      <c r="D409" s="328"/>
      <c r="E409" s="328"/>
      <c r="F409" s="338">
        <f>F410+F441</f>
        <v>34982.687999999995</v>
      </c>
      <c r="G409" s="338">
        <f>G410+G441</f>
        <v>34276.7068</v>
      </c>
      <c r="H409" s="282"/>
      <c r="I409" s="282"/>
      <c r="J409" s="282"/>
      <c r="K409" s="282"/>
      <c r="L409" s="282"/>
      <c r="M409" s="282"/>
    </row>
    <row r="410" spans="1:13" s="283" customFormat="1" ht="17.25" customHeight="1" x14ac:dyDescent="0.2">
      <c r="A410" s="61" t="s">
        <v>121</v>
      </c>
      <c r="B410" s="94" t="s">
        <v>120</v>
      </c>
      <c r="C410" s="94" t="s">
        <v>122</v>
      </c>
      <c r="D410" s="96"/>
      <c r="E410" s="96"/>
      <c r="F410" s="138">
        <f>F411+F434</f>
        <v>25838.528399999996</v>
      </c>
      <c r="G410" s="138">
        <f>G411+G434</f>
        <v>25317.070600000003</v>
      </c>
      <c r="H410" s="282"/>
      <c r="I410" s="282"/>
      <c r="J410" s="282"/>
      <c r="K410" s="282"/>
      <c r="L410" s="282"/>
      <c r="M410" s="282"/>
    </row>
    <row r="411" spans="1:13" s="283" customFormat="1" ht="17.25" customHeight="1" x14ac:dyDescent="0.2">
      <c r="A411" s="61" t="s">
        <v>123</v>
      </c>
      <c r="B411" s="94" t="s">
        <v>120</v>
      </c>
      <c r="C411" s="94" t="s">
        <v>122</v>
      </c>
      <c r="D411" s="96" t="s">
        <v>124</v>
      </c>
      <c r="E411" s="96"/>
      <c r="F411" s="131">
        <f>F412+F417+F426</f>
        <v>25740.408399999997</v>
      </c>
      <c r="G411" s="131">
        <f>G412+G417+G426</f>
        <v>25220.930600000003</v>
      </c>
      <c r="H411" s="282"/>
      <c r="I411" s="282"/>
      <c r="J411" s="282"/>
      <c r="K411" s="282"/>
      <c r="L411" s="282"/>
      <c r="M411" s="282"/>
    </row>
    <row r="412" spans="1:13" s="283" customFormat="1" ht="17.25" customHeight="1" x14ac:dyDescent="0.2">
      <c r="A412" s="66" t="s">
        <v>125</v>
      </c>
      <c r="B412" s="67" t="s">
        <v>120</v>
      </c>
      <c r="C412" s="67" t="s">
        <v>122</v>
      </c>
      <c r="D412" s="68" t="s">
        <v>126</v>
      </c>
      <c r="E412" s="96"/>
      <c r="F412" s="131">
        <f t="shared" ref="F412:G415" si="30">F413</f>
        <v>9543.8647999999994</v>
      </c>
      <c r="G412" s="131">
        <f t="shared" si="30"/>
        <v>9351.2756000000008</v>
      </c>
      <c r="H412" s="282"/>
      <c r="I412" s="282"/>
      <c r="J412" s="282"/>
      <c r="K412" s="282"/>
      <c r="L412" s="282"/>
      <c r="M412" s="282"/>
    </row>
    <row r="413" spans="1:13" s="283" customFormat="1" ht="17.25" customHeight="1" x14ac:dyDescent="0.2">
      <c r="A413" s="66" t="s">
        <v>127</v>
      </c>
      <c r="B413" s="67" t="s">
        <v>120</v>
      </c>
      <c r="C413" s="67" t="s">
        <v>122</v>
      </c>
      <c r="D413" s="68" t="s">
        <v>128</v>
      </c>
      <c r="E413" s="68"/>
      <c r="F413" s="131">
        <f t="shared" si="30"/>
        <v>9543.8647999999994</v>
      </c>
      <c r="G413" s="131">
        <f t="shared" si="30"/>
        <v>9351.2756000000008</v>
      </c>
      <c r="H413" s="282"/>
      <c r="I413" s="282"/>
      <c r="J413" s="282"/>
      <c r="K413" s="282"/>
      <c r="L413" s="282"/>
      <c r="M413" s="282"/>
    </row>
    <row r="414" spans="1:13" s="283" customFormat="1" ht="17.25" customHeight="1" x14ac:dyDescent="0.2">
      <c r="A414" s="66" t="s">
        <v>129</v>
      </c>
      <c r="B414" s="68" t="s">
        <v>120</v>
      </c>
      <c r="C414" s="67" t="s">
        <v>122</v>
      </c>
      <c r="D414" s="68" t="s">
        <v>128</v>
      </c>
      <c r="E414" s="68" t="s">
        <v>130</v>
      </c>
      <c r="F414" s="131">
        <f t="shared" si="30"/>
        <v>9543.8647999999994</v>
      </c>
      <c r="G414" s="131">
        <f t="shared" si="30"/>
        <v>9351.2756000000008</v>
      </c>
      <c r="H414" s="282"/>
      <c r="I414" s="282"/>
      <c r="J414" s="282"/>
      <c r="K414" s="282"/>
      <c r="L414" s="282"/>
      <c r="M414" s="282"/>
    </row>
    <row r="415" spans="1:13" s="283" customFormat="1" ht="17.25" customHeight="1" x14ac:dyDescent="0.2">
      <c r="A415" s="66" t="s">
        <v>131</v>
      </c>
      <c r="B415" s="68" t="s">
        <v>120</v>
      </c>
      <c r="C415" s="67" t="s">
        <v>122</v>
      </c>
      <c r="D415" s="68" t="s">
        <v>128</v>
      </c>
      <c r="E415" s="68" t="s">
        <v>132</v>
      </c>
      <c r="F415" s="131">
        <f t="shared" si="30"/>
        <v>9543.8647999999994</v>
      </c>
      <c r="G415" s="131">
        <f t="shared" si="30"/>
        <v>9351.2756000000008</v>
      </c>
      <c r="H415" s="282"/>
      <c r="I415" s="282"/>
      <c r="J415" s="282"/>
      <c r="K415" s="282"/>
      <c r="L415" s="282"/>
      <c r="M415" s="282"/>
    </row>
    <row r="416" spans="1:13" s="283" customFormat="1" ht="17.25" customHeight="1" x14ac:dyDescent="0.2">
      <c r="A416" s="66" t="s">
        <v>133</v>
      </c>
      <c r="B416" s="68" t="s">
        <v>120</v>
      </c>
      <c r="C416" s="67" t="s">
        <v>122</v>
      </c>
      <c r="D416" s="68" t="s">
        <v>128</v>
      </c>
      <c r="E416" s="68" t="s">
        <v>134</v>
      </c>
      <c r="F416" s="131">
        <f>'ПР 8 ведом'!G35</f>
        <v>9543.8647999999994</v>
      </c>
      <c r="G416" s="131">
        <f>'ПР 8 ведом'!H35</f>
        <v>9351.2756000000008</v>
      </c>
      <c r="H416" s="282"/>
      <c r="I416" s="282"/>
      <c r="J416" s="282"/>
      <c r="K416" s="282"/>
      <c r="L416" s="282"/>
      <c r="M416" s="282"/>
    </row>
    <row r="417" spans="1:13" s="283" customFormat="1" ht="17.25" customHeight="1" x14ac:dyDescent="0.2">
      <c r="A417" s="66" t="s">
        <v>135</v>
      </c>
      <c r="B417" s="67" t="s">
        <v>120</v>
      </c>
      <c r="C417" s="67" t="s">
        <v>122</v>
      </c>
      <c r="D417" s="68" t="s">
        <v>136</v>
      </c>
      <c r="E417" s="68"/>
      <c r="F417" s="131">
        <f>F418</f>
        <v>15857.583599999998</v>
      </c>
      <c r="G417" s="131">
        <f>G418</f>
        <v>15537.535000000002</v>
      </c>
      <c r="H417" s="282"/>
      <c r="I417" s="282"/>
      <c r="J417" s="282"/>
      <c r="K417" s="282"/>
      <c r="L417" s="282"/>
      <c r="M417" s="282"/>
    </row>
    <row r="418" spans="1:13" s="283" customFormat="1" ht="17.25" customHeight="1" x14ac:dyDescent="0.2">
      <c r="A418" s="66" t="s">
        <v>137</v>
      </c>
      <c r="B418" s="67" t="s">
        <v>120</v>
      </c>
      <c r="C418" s="67" t="s">
        <v>122</v>
      </c>
      <c r="D418" s="68" t="s">
        <v>138</v>
      </c>
      <c r="E418" s="68"/>
      <c r="F418" s="131">
        <f>F419+F423</f>
        <v>15857.583599999998</v>
      </c>
      <c r="G418" s="131">
        <f>G419+G423</f>
        <v>15537.535000000002</v>
      </c>
      <c r="H418" s="282"/>
      <c r="I418" s="282"/>
      <c r="J418" s="282"/>
      <c r="K418" s="282"/>
      <c r="L418" s="282"/>
      <c r="M418" s="282"/>
    </row>
    <row r="419" spans="1:13" s="283" customFormat="1" ht="16.5" customHeight="1" x14ac:dyDescent="0.2">
      <c r="A419" s="66" t="s">
        <v>139</v>
      </c>
      <c r="B419" s="67" t="s">
        <v>120</v>
      </c>
      <c r="C419" s="67" t="s">
        <v>122</v>
      </c>
      <c r="D419" s="68" t="s">
        <v>138</v>
      </c>
      <c r="E419" s="68" t="s">
        <v>140</v>
      </c>
      <c r="F419" s="131">
        <f>F420</f>
        <v>2362.2835999999998</v>
      </c>
      <c r="G419" s="131">
        <f>G420</f>
        <v>2314.6142</v>
      </c>
      <c r="H419" s="157"/>
      <c r="I419" s="282"/>
      <c r="J419" s="282"/>
      <c r="K419" s="282"/>
      <c r="L419" s="282"/>
      <c r="M419" s="282"/>
    </row>
    <row r="420" spans="1:13" s="52" customFormat="1" x14ac:dyDescent="0.2">
      <c r="A420" s="66" t="s">
        <v>141</v>
      </c>
      <c r="B420" s="67" t="s">
        <v>120</v>
      </c>
      <c r="C420" s="67" t="s">
        <v>122</v>
      </c>
      <c r="D420" s="68" t="s">
        <v>138</v>
      </c>
      <c r="E420" s="68">
        <v>110</v>
      </c>
      <c r="F420" s="131">
        <f>F421+F422</f>
        <v>2362.2835999999998</v>
      </c>
      <c r="G420" s="131">
        <f>G421+G422</f>
        <v>2314.6142</v>
      </c>
      <c r="H420" s="90"/>
      <c r="I420" s="90"/>
      <c r="J420" s="90"/>
      <c r="K420" s="90"/>
      <c r="L420" s="90"/>
      <c r="M420" s="90"/>
    </row>
    <row r="421" spans="1:13" s="52" customFormat="1" ht="24.75" customHeight="1" x14ac:dyDescent="0.2">
      <c r="A421" s="66" t="s">
        <v>142</v>
      </c>
      <c r="B421" s="67" t="s">
        <v>120</v>
      </c>
      <c r="C421" s="67" t="s">
        <v>122</v>
      </c>
      <c r="D421" s="68" t="s">
        <v>138</v>
      </c>
      <c r="E421" s="68">
        <v>111</v>
      </c>
      <c r="F421" s="131">
        <f>'ПР 8 ведом'!G40</f>
        <v>1814.328</v>
      </c>
      <c r="G421" s="131">
        <f>'ПР 8 ведом'!H40</f>
        <v>1777.7160000000001</v>
      </c>
      <c r="H421" s="90"/>
      <c r="I421" s="90"/>
      <c r="J421" s="90"/>
      <c r="K421" s="90"/>
      <c r="L421" s="90"/>
      <c r="M421" s="90"/>
    </row>
    <row r="422" spans="1:13" s="52" customFormat="1" ht="20.25" customHeight="1" x14ac:dyDescent="0.2">
      <c r="A422" s="69" t="s">
        <v>143</v>
      </c>
      <c r="B422" s="67" t="s">
        <v>120</v>
      </c>
      <c r="C422" s="67" t="s">
        <v>122</v>
      </c>
      <c r="D422" s="68" t="s">
        <v>138</v>
      </c>
      <c r="E422" s="68">
        <v>119</v>
      </c>
      <c r="F422" s="131">
        <f>'ПР 8 ведом'!G41</f>
        <v>547.9556</v>
      </c>
      <c r="G422" s="131">
        <f>'ПР 8 ведом'!H41</f>
        <v>536.89819999999997</v>
      </c>
      <c r="H422" s="90"/>
      <c r="I422" s="90"/>
      <c r="J422" s="90"/>
      <c r="K422" s="90"/>
      <c r="L422" s="90"/>
      <c r="M422" s="90"/>
    </row>
    <row r="423" spans="1:13" s="52" customFormat="1" ht="20.25" customHeight="1" x14ac:dyDescent="0.2">
      <c r="A423" s="66" t="s">
        <v>129</v>
      </c>
      <c r="B423" s="68" t="s">
        <v>120</v>
      </c>
      <c r="C423" s="67" t="s">
        <v>122</v>
      </c>
      <c r="D423" s="68" t="s">
        <v>138</v>
      </c>
      <c r="E423" s="68" t="s">
        <v>130</v>
      </c>
      <c r="F423" s="131">
        <f>F424</f>
        <v>13495.3</v>
      </c>
      <c r="G423" s="131">
        <f>G424</f>
        <v>13222.920800000002</v>
      </c>
      <c r="H423" s="90"/>
      <c r="I423" s="90"/>
      <c r="J423" s="90"/>
      <c r="K423" s="90"/>
      <c r="L423" s="90"/>
      <c r="M423" s="90"/>
    </row>
    <row r="424" spans="1:13" s="52" customFormat="1" ht="32.25" customHeight="1" x14ac:dyDescent="0.2">
      <c r="A424" s="66" t="s">
        <v>131</v>
      </c>
      <c r="B424" s="68" t="s">
        <v>120</v>
      </c>
      <c r="C424" s="67" t="s">
        <v>122</v>
      </c>
      <c r="D424" s="68" t="s">
        <v>138</v>
      </c>
      <c r="E424" s="68" t="s">
        <v>132</v>
      </c>
      <c r="F424" s="131">
        <f>F425</f>
        <v>13495.3</v>
      </c>
      <c r="G424" s="131">
        <f>G425</f>
        <v>13222.920800000002</v>
      </c>
      <c r="H424" s="90"/>
      <c r="I424" s="90"/>
      <c r="J424" s="90"/>
      <c r="K424" s="90"/>
      <c r="L424" s="90"/>
      <c r="M424" s="90"/>
    </row>
    <row r="425" spans="1:13" s="52" customFormat="1" ht="17.25" customHeight="1" x14ac:dyDescent="0.2">
      <c r="A425" s="66" t="s">
        <v>133</v>
      </c>
      <c r="B425" s="68" t="s">
        <v>120</v>
      </c>
      <c r="C425" s="67" t="s">
        <v>122</v>
      </c>
      <c r="D425" s="68" t="s">
        <v>138</v>
      </c>
      <c r="E425" s="68" t="s">
        <v>134</v>
      </c>
      <c r="F425" s="131">
        <f>'ПР 8 ведом'!G44</f>
        <v>13495.3</v>
      </c>
      <c r="G425" s="131">
        <f>'ПР 8 ведом'!H44</f>
        <v>13222.920800000002</v>
      </c>
      <c r="H425" s="90"/>
      <c r="I425" s="90"/>
      <c r="J425" s="90"/>
      <c r="K425" s="90"/>
      <c r="L425" s="90"/>
      <c r="M425" s="90"/>
    </row>
    <row r="426" spans="1:13" s="52" customFormat="1" ht="34.5" customHeight="1" x14ac:dyDescent="0.2">
      <c r="A426" s="66" t="s">
        <v>144</v>
      </c>
      <c r="B426" s="67" t="s">
        <v>120</v>
      </c>
      <c r="C426" s="67" t="s">
        <v>122</v>
      </c>
      <c r="D426" s="68" t="s">
        <v>145</v>
      </c>
      <c r="E426" s="68"/>
      <c r="F426" s="131">
        <f>F427</f>
        <v>338.96</v>
      </c>
      <c r="G426" s="131">
        <f>G427</f>
        <v>332.12</v>
      </c>
      <c r="H426" s="90"/>
      <c r="I426" s="90"/>
      <c r="J426" s="90"/>
      <c r="K426" s="90"/>
      <c r="L426" s="90"/>
      <c r="M426" s="90"/>
    </row>
    <row r="427" spans="1:13" s="52" customFormat="1" ht="27.75" customHeight="1" x14ac:dyDescent="0.2">
      <c r="A427" s="66" t="s">
        <v>146</v>
      </c>
      <c r="B427" s="67" t="s">
        <v>120</v>
      </c>
      <c r="C427" s="67" t="s">
        <v>122</v>
      </c>
      <c r="D427" s="68" t="s">
        <v>147</v>
      </c>
      <c r="E427" s="68"/>
      <c r="F427" s="131">
        <f>F428+F431</f>
        <v>338.96</v>
      </c>
      <c r="G427" s="131">
        <f>G428+G431</f>
        <v>332.12</v>
      </c>
      <c r="H427" s="90"/>
      <c r="I427" s="90"/>
      <c r="J427" s="90"/>
      <c r="K427" s="90"/>
      <c r="L427" s="90"/>
      <c r="M427" s="90"/>
    </row>
    <row r="428" spans="1:13" s="52" customFormat="1" ht="34.5" customHeight="1" x14ac:dyDescent="0.2">
      <c r="A428" s="66" t="s">
        <v>139</v>
      </c>
      <c r="B428" s="67" t="s">
        <v>120</v>
      </c>
      <c r="C428" s="67" t="s">
        <v>122</v>
      </c>
      <c r="D428" s="68" t="s">
        <v>147</v>
      </c>
      <c r="E428" s="68">
        <v>100</v>
      </c>
      <c r="F428" s="131">
        <f>F429</f>
        <v>74.927999999999997</v>
      </c>
      <c r="G428" s="131">
        <f>G429</f>
        <v>73.416000000000011</v>
      </c>
      <c r="H428" s="90"/>
      <c r="I428" s="90"/>
      <c r="J428" s="90"/>
      <c r="K428" s="90"/>
      <c r="L428" s="90"/>
      <c r="M428" s="90"/>
    </row>
    <row r="429" spans="1:13" s="52" customFormat="1" x14ac:dyDescent="0.2">
      <c r="A429" s="66" t="s">
        <v>141</v>
      </c>
      <c r="B429" s="67" t="s">
        <v>120</v>
      </c>
      <c r="C429" s="67" t="s">
        <v>122</v>
      </c>
      <c r="D429" s="68" t="s">
        <v>147</v>
      </c>
      <c r="E429" s="68">
        <v>110</v>
      </c>
      <c r="F429" s="131">
        <f>F430</f>
        <v>74.927999999999997</v>
      </c>
      <c r="G429" s="131">
        <f>G430</f>
        <v>73.416000000000011</v>
      </c>
      <c r="H429" s="90"/>
      <c r="I429" s="90"/>
      <c r="J429" s="90"/>
      <c r="K429" s="90"/>
      <c r="L429" s="90"/>
      <c r="M429" s="90"/>
    </row>
    <row r="430" spans="1:13" s="52" customFormat="1" ht="19.5" customHeight="1" x14ac:dyDescent="0.2">
      <c r="A430" s="70" t="s">
        <v>148</v>
      </c>
      <c r="B430" s="67" t="s">
        <v>120</v>
      </c>
      <c r="C430" s="67" t="s">
        <v>122</v>
      </c>
      <c r="D430" s="68" t="s">
        <v>147</v>
      </c>
      <c r="E430" s="68">
        <v>112</v>
      </c>
      <c r="F430" s="131">
        <f>'ПР 8 ведом'!G54</f>
        <v>74.927999999999997</v>
      </c>
      <c r="G430" s="131">
        <f>'ПР 8 ведом'!H54</f>
        <v>73.416000000000011</v>
      </c>
      <c r="H430" s="90"/>
      <c r="I430" s="90"/>
      <c r="J430" s="90"/>
      <c r="K430" s="90"/>
      <c r="L430" s="90"/>
      <c r="M430" s="90"/>
    </row>
    <row r="431" spans="1:13" s="52" customFormat="1" ht="30.75" customHeight="1" x14ac:dyDescent="0.2">
      <c r="A431" s="66" t="s">
        <v>149</v>
      </c>
      <c r="B431" s="67" t="s">
        <v>120</v>
      </c>
      <c r="C431" s="67" t="s">
        <v>122</v>
      </c>
      <c r="D431" s="68" t="s">
        <v>147</v>
      </c>
      <c r="E431" s="68" t="s">
        <v>150</v>
      </c>
      <c r="F431" s="131">
        <f>F432</f>
        <v>264.03199999999998</v>
      </c>
      <c r="G431" s="131">
        <f>G432</f>
        <v>258.70400000000001</v>
      </c>
      <c r="H431" s="90"/>
      <c r="I431" s="90"/>
      <c r="J431" s="90"/>
      <c r="K431" s="90"/>
      <c r="L431" s="90"/>
      <c r="M431" s="90"/>
    </row>
    <row r="432" spans="1:13" s="52" customFormat="1" ht="37.5" customHeight="1" x14ac:dyDescent="0.2">
      <c r="A432" s="66" t="s">
        <v>151</v>
      </c>
      <c r="B432" s="67" t="s">
        <v>120</v>
      </c>
      <c r="C432" s="67" t="s">
        <v>122</v>
      </c>
      <c r="D432" s="68" t="s">
        <v>147</v>
      </c>
      <c r="E432" s="68" t="s">
        <v>152</v>
      </c>
      <c r="F432" s="131">
        <f>F433</f>
        <v>264.03199999999998</v>
      </c>
      <c r="G432" s="131">
        <f>G433</f>
        <v>258.70400000000001</v>
      </c>
      <c r="H432" s="90"/>
      <c r="I432" s="90"/>
      <c r="J432" s="90"/>
      <c r="K432" s="90"/>
      <c r="L432" s="90"/>
      <c r="M432" s="90"/>
    </row>
    <row r="433" spans="1:13" s="52" customFormat="1" ht="12" customHeight="1" x14ac:dyDescent="0.2">
      <c r="A433" s="70" t="s">
        <v>153</v>
      </c>
      <c r="B433" s="67" t="s">
        <v>120</v>
      </c>
      <c r="C433" s="67" t="s">
        <v>122</v>
      </c>
      <c r="D433" s="68" t="s">
        <v>147</v>
      </c>
      <c r="E433" s="68" t="s">
        <v>154</v>
      </c>
      <c r="F433" s="131">
        <f>'ПР 8 ведом'!G57</f>
        <v>264.03199999999998</v>
      </c>
      <c r="G433" s="131">
        <f>'ПР 8 ведом'!H57</f>
        <v>258.70400000000001</v>
      </c>
      <c r="H433" s="90"/>
      <c r="I433" s="90"/>
      <c r="J433" s="90"/>
      <c r="K433" s="90"/>
      <c r="L433" s="90"/>
      <c r="M433" s="90"/>
    </row>
    <row r="434" spans="1:13" s="52" customFormat="1" ht="33.75" customHeight="1" x14ac:dyDescent="0.2">
      <c r="A434" s="70" t="s">
        <v>157</v>
      </c>
      <c r="B434" s="67" t="s">
        <v>120</v>
      </c>
      <c r="C434" s="67" t="s">
        <v>122</v>
      </c>
      <c r="D434" s="68" t="s">
        <v>158</v>
      </c>
      <c r="E434" s="68"/>
      <c r="F434" s="131">
        <f>F435+F438</f>
        <v>98.12</v>
      </c>
      <c r="G434" s="131">
        <f>G435+G438</f>
        <v>96.140000000000015</v>
      </c>
      <c r="H434" s="90"/>
      <c r="I434" s="90"/>
      <c r="J434" s="90"/>
      <c r="K434" s="90"/>
      <c r="L434" s="90"/>
      <c r="M434" s="90"/>
    </row>
    <row r="435" spans="1:13" s="52" customFormat="1" ht="33.75" customHeight="1" x14ac:dyDescent="0.2">
      <c r="A435" s="83" t="s">
        <v>139</v>
      </c>
      <c r="B435" s="87" t="s">
        <v>120</v>
      </c>
      <c r="C435" s="87" t="s">
        <v>122</v>
      </c>
      <c r="D435" s="84" t="s">
        <v>158</v>
      </c>
      <c r="E435" s="84">
        <v>100</v>
      </c>
      <c r="F435" s="131">
        <f>F436</f>
        <v>5.8872</v>
      </c>
      <c r="G435" s="131">
        <f>G436</f>
        <v>5.7684000000000006</v>
      </c>
      <c r="H435" s="90"/>
      <c r="I435" s="90"/>
      <c r="J435" s="90"/>
      <c r="K435" s="90"/>
      <c r="L435" s="90"/>
      <c r="M435" s="90"/>
    </row>
    <row r="436" spans="1:13" s="52" customFormat="1" ht="33.75" customHeight="1" x14ac:dyDescent="0.2">
      <c r="A436" s="83" t="s">
        <v>141</v>
      </c>
      <c r="B436" s="87" t="s">
        <v>120</v>
      </c>
      <c r="C436" s="87" t="s">
        <v>122</v>
      </c>
      <c r="D436" s="84" t="s">
        <v>158</v>
      </c>
      <c r="E436" s="84">
        <v>110</v>
      </c>
      <c r="F436" s="131">
        <f>F437</f>
        <v>5.8872</v>
      </c>
      <c r="G436" s="131">
        <f>G437</f>
        <v>5.7684000000000006</v>
      </c>
      <c r="H436" s="90"/>
      <c r="I436" s="90"/>
      <c r="J436" s="90"/>
      <c r="K436" s="90"/>
      <c r="L436" s="90"/>
      <c r="M436" s="90"/>
    </row>
    <row r="437" spans="1:13" s="52" customFormat="1" ht="33.75" customHeight="1" x14ac:dyDescent="0.2">
      <c r="A437" s="115" t="s">
        <v>565</v>
      </c>
      <c r="B437" s="87" t="s">
        <v>120</v>
      </c>
      <c r="C437" s="87" t="s">
        <v>122</v>
      </c>
      <c r="D437" s="84" t="s">
        <v>158</v>
      </c>
      <c r="E437" s="84">
        <v>112</v>
      </c>
      <c r="F437" s="131">
        <f>'ПР 8 ведом'!G49</f>
        <v>5.8872</v>
      </c>
      <c r="G437" s="131">
        <f>'ПР 8 ведом'!H49</f>
        <v>5.7684000000000006</v>
      </c>
      <c r="H437" s="90"/>
      <c r="I437" s="90"/>
      <c r="J437" s="90"/>
      <c r="K437" s="90"/>
      <c r="L437" s="90"/>
      <c r="M437" s="90"/>
    </row>
    <row r="438" spans="1:13" s="52" customFormat="1" ht="25.5" customHeight="1" x14ac:dyDescent="0.2">
      <c r="A438" s="66" t="s">
        <v>129</v>
      </c>
      <c r="B438" s="67" t="s">
        <v>120</v>
      </c>
      <c r="C438" s="67" t="s">
        <v>122</v>
      </c>
      <c r="D438" s="68" t="s">
        <v>158</v>
      </c>
      <c r="E438" s="68">
        <v>600</v>
      </c>
      <c r="F438" s="131">
        <f>F439</f>
        <v>92.232800000000012</v>
      </c>
      <c r="G438" s="131">
        <f>G439</f>
        <v>90.371600000000015</v>
      </c>
      <c r="H438" s="90"/>
      <c r="I438" s="90"/>
      <c r="J438" s="90"/>
      <c r="K438" s="90"/>
      <c r="L438" s="90"/>
      <c r="M438" s="90"/>
    </row>
    <row r="439" spans="1:13" s="52" customFormat="1" ht="24" customHeight="1" x14ac:dyDescent="0.2">
      <c r="A439" s="66" t="s">
        <v>131</v>
      </c>
      <c r="B439" s="67" t="s">
        <v>120</v>
      </c>
      <c r="C439" s="67" t="s">
        <v>122</v>
      </c>
      <c r="D439" s="68" t="s">
        <v>158</v>
      </c>
      <c r="E439" s="68">
        <v>610</v>
      </c>
      <c r="F439" s="131">
        <f>F440</f>
        <v>92.232800000000012</v>
      </c>
      <c r="G439" s="131">
        <f>G440</f>
        <v>90.371600000000015</v>
      </c>
      <c r="H439" s="90"/>
      <c r="I439" s="90"/>
      <c r="J439" s="90"/>
      <c r="K439" s="90"/>
      <c r="L439" s="90"/>
      <c r="M439" s="90"/>
    </row>
    <row r="440" spans="1:13" s="52" customFormat="1" ht="45" x14ac:dyDescent="0.2">
      <c r="A440" s="66" t="s">
        <v>133</v>
      </c>
      <c r="B440" s="67" t="s">
        <v>120</v>
      </c>
      <c r="C440" s="67" t="s">
        <v>122</v>
      </c>
      <c r="D440" s="68" t="s">
        <v>158</v>
      </c>
      <c r="E440" s="68">
        <v>611</v>
      </c>
      <c r="F440" s="131">
        <f>'ПР 8 ведом'!G61</f>
        <v>92.232800000000012</v>
      </c>
      <c r="G440" s="131">
        <f>'ПР 8 ведом'!H61</f>
        <v>90.371600000000015</v>
      </c>
      <c r="H440" s="90"/>
      <c r="I440" s="90"/>
      <c r="J440" s="90"/>
      <c r="K440" s="90"/>
      <c r="L440" s="90"/>
      <c r="M440" s="90"/>
    </row>
    <row r="441" spans="1:13" s="52" customFormat="1" ht="15" customHeight="1" x14ac:dyDescent="0.2">
      <c r="A441" s="61" t="s">
        <v>159</v>
      </c>
      <c r="B441" s="96" t="s">
        <v>120</v>
      </c>
      <c r="C441" s="94" t="s">
        <v>160</v>
      </c>
      <c r="D441" s="68"/>
      <c r="E441" s="68"/>
      <c r="F441" s="138">
        <f>F447+F442</f>
        <v>9144.1595999999972</v>
      </c>
      <c r="G441" s="138">
        <f>G447+G442</f>
        <v>8959.6362000000008</v>
      </c>
      <c r="H441" s="90"/>
      <c r="I441" s="90"/>
      <c r="J441" s="90"/>
      <c r="K441" s="90"/>
      <c r="L441" s="90"/>
      <c r="M441" s="90"/>
    </row>
    <row r="442" spans="1:13" s="52" customFormat="1" ht="20.25" customHeight="1" x14ac:dyDescent="0.2">
      <c r="A442" s="71" t="s">
        <v>161</v>
      </c>
      <c r="B442" s="67" t="s">
        <v>120</v>
      </c>
      <c r="C442" s="67" t="s">
        <v>160</v>
      </c>
      <c r="D442" s="68" t="s">
        <v>162</v>
      </c>
      <c r="E442" s="68"/>
      <c r="F442" s="131">
        <f t="shared" ref="F442:G445" si="31">F443</f>
        <v>196.24</v>
      </c>
      <c r="G442" s="131">
        <f t="shared" si="31"/>
        <v>192.28000000000003</v>
      </c>
      <c r="H442" s="90"/>
      <c r="I442" s="90"/>
      <c r="J442" s="90"/>
      <c r="K442" s="90"/>
      <c r="L442" s="90"/>
      <c r="M442" s="90"/>
    </row>
    <row r="443" spans="1:13" s="52" customFormat="1" ht="20.25" customHeight="1" x14ac:dyDescent="0.2">
      <c r="A443" s="300" t="s">
        <v>163</v>
      </c>
      <c r="B443" s="67" t="s">
        <v>120</v>
      </c>
      <c r="C443" s="67" t="s">
        <v>160</v>
      </c>
      <c r="D443" s="68" t="s">
        <v>164</v>
      </c>
      <c r="E443" s="68"/>
      <c r="F443" s="131">
        <f t="shared" si="31"/>
        <v>196.24</v>
      </c>
      <c r="G443" s="131">
        <f t="shared" si="31"/>
        <v>192.28000000000003</v>
      </c>
      <c r="H443" s="90"/>
      <c r="I443" s="90"/>
      <c r="J443" s="90"/>
      <c r="K443" s="90"/>
      <c r="L443" s="90"/>
      <c r="M443" s="90"/>
    </row>
    <row r="444" spans="1:13" s="52" customFormat="1" ht="20.25" customHeight="1" x14ac:dyDescent="0.2">
      <c r="A444" s="66" t="s">
        <v>149</v>
      </c>
      <c r="B444" s="67" t="s">
        <v>120</v>
      </c>
      <c r="C444" s="67" t="s">
        <v>160</v>
      </c>
      <c r="D444" s="68" t="s">
        <v>164</v>
      </c>
      <c r="E444" s="68" t="s">
        <v>150</v>
      </c>
      <c r="F444" s="131">
        <f t="shared" si="31"/>
        <v>196.24</v>
      </c>
      <c r="G444" s="131">
        <f t="shared" si="31"/>
        <v>192.28000000000003</v>
      </c>
      <c r="H444" s="90"/>
      <c r="I444" s="90"/>
      <c r="J444" s="90"/>
      <c r="K444" s="90"/>
      <c r="L444" s="90"/>
      <c r="M444" s="90"/>
    </row>
    <row r="445" spans="1:13" s="52" customFormat="1" ht="22.5" x14ac:dyDescent="0.2">
      <c r="A445" s="66" t="s">
        <v>151</v>
      </c>
      <c r="B445" s="67" t="s">
        <v>120</v>
      </c>
      <c r="C445" s="67" t="s">
        <v>160</v>
      </c>
      <c r="D445" s="68" t="s">
        <v>164</v>
      </c>
      <c r="E445" s="68" t="s">
        <v>152</v>
      </c>
      <c r="F445" s="131">
        <f t="shared" si="31"/>
        <v>196.24</v>
      </c>
      <c r="G445" s="131">
        <f t="shared" si="31"/>
        <v>192.28000000000003</v>
      </c>
      <c r="H445" s="90"/>
      <c r="I445" s="90"/>
      <c r="J445" s="90"/>
      <c r="K445" s="90"/>
      <c r="L445" s="90"/>
      <c r="M445" s="90"/>
    </row>
    <row r="446" spans="1:13" s="52" customFormat="1" ht="22.5" x14ac:dyDescent="0.2">
      <c r="A446" s="70" t="s">
        <v>153</v>
      </c>
      <c r="B446" s="67" t="s">
        <v>120</v>
      </c>
      <c r="C446" s="67" t="s">
        <v>160</v>
      </c>
      <c r="D446" s="68" t="s">
        <v>164</v>
      </c>
      <c r="E446" s="68" t="s">
        <v>154</v>
      </c>
      <c r="F446" s="131">
        <f>'ПР 8 ведом'!G67</f>
        <v>196.24</v>
      </c>
      <c r="G446" s="131">
        <f>'ПР 8 ведом'!H67</f>
        <v>192.28000000000003</v>
      </c>
      <c r="H446" s="90"/>
      <c r="I446" s="90"/>
      <c r="J446" s="90"/>
      <c r="K446" s="90"/>
      <c r="L446" s="90"/>
      <c r="M446" s="90"/>
    </row>
    <row r="447" spans="1:13" s="52" customFormat="1" ht="23.25" customHeight="1" x14ac:dyDescent="0.2">
      <c r="A447" s="66" t="s">
        <v>144</v>
      </c>
      <c r="B447" s="67" t="s">
        <v>120</v>
      </c>
      <c r="C447" s="67" t="s">
        <v>160</v>
      </c>
      <c r="D447" s="68" t="s">
        <v>145</v>
      </c>
      <c r="E447" s="68"/>
      <c r="F447" s="131">
        <f>F448+F453</f>
        <v>8947.9195999999974</v>
      </c>
      <c r="G447" s="131">
        <f>G448+G453</f>
        <v>8767.3562000000002</v>
      </c>
      <c r="H447" s="90"/>
      <c r="I447" s="90"/>
      <c r="J447" s="90"/>
      <c r="K447" s="90"/>
      <c r="L447" s="90"/>
      <c r="M447" s="90"/>
    </row>
    <row r="448" spans="1:13" s="52" customFormat="1" ht="32.25" customHeight="1" x14ac:dyDescent="0.2">
      <c r="A448" s="66" t="s">
        <v>165</v>
      </c>
      <c r="B448" s="68" t="s">
        <v>120</v>
      </c>
      <c r="C448" s="67" t="s">
        <v>160</v>
      </c>
      <c r="D448" s="68" t="s">
        <v>166</v>
      </c>
      <c r="E448" s="68"/>
      <c r="F448" s="131">
        <f>F449</f>
        <v>437.34760000000006</v>
      </c>
      <c r="G448" s="131">
        <f>G449</f>
        <v>428.52220000000005</v>
      </c>
      <c r="H448" s="90"/>
      <c r="I448" s="90"/>
      <c r="J448" s="90"/>
      <c r="K448" s="90"/>
      <c r="L448" s="90"/>
      <c r="M448" s="90"/>
    </row>
    <row r="449" spans="1:13" s="52" customFormat="1" ht="24" customHeight="1" x14ac:dyDescent="0.2">
      <c r="A449" s="66" t="s">
        <v>139</v>
      </c>
      <c r="B449" s="68" t="s">
        <v>120</v>
      </c>
      <c r="C449" s="67" t="s">
        <v>160</v>
      </c>
      <c r="D449" s="68" t="s">
        <v>167</v>
      </c>
      <c r="E449" s="68">
        <v>100</v>
      </c>
      <c r="F449" s="131">
        <f>F450</f>
        <v>437.34760000000006</v>
      </c>
      <c r="G449" s="131">
        <f>G450</f>
        <v>428.52220000000005</v>
      </c>
      <c r="H449" s="90"/>
      <c r="I449" s="90"/>
      <c r="J449" s="90"/>
      <c r="K449" s="90"/>
      <c r="L449" s="90"/>
      <c r="M449" s="90"/>
    </row>
    <row r="450" spans="1:13" s="52" customFormat="1" ht="23.25" customHeight="1" x14ac:dyDescent="0.2">
      <c r="A450" s="66" t="s">
        <v>168</v>
      </c>
      <c r="B450" s="68" t="s">
        <v>120</v>
      </c>
      <c r="C450" s="67" t="s">
        <v>160</v>
      </c>
      <c r="D450" s="68" t="s">
        <v>167</v>
      </c>
      <c r="E450" s="68">
        <v>120</v>
      </c>
      <c r="F450" s="131">
        <f>F451+F452</f>
        <v>437.34760000000006</v>
      </c>
      <c r="G450" s="131">
        <f>G451+G452</f>
        <v>428.52220000000005</v>
      </c>
      <c r="H450" s="90"/>
      <c r="I450" s="90"/>
      <c r="J450" s="90"/>
      <c r="K450" s="90"/>
      <c r="L450" s="90"/>
      <c r="M450" s="90"/>
    </row>
    <row r="451" spans="1:13" s="52" customFormat="1" ht="24" customHeight="1" x14ac:dyDescent="0.2">
      <c r="A451" s="69" t="s">
        <v>169</v>
      </c>
      <c r="B451" s="68" t="s">
        <v>120</v>
      </c>
      <c r="C451" s="67" t="s">
        <v>160</v>
      </c>
      <c r="D451" s="68" t="s">
        <v>167</v>
      </c>
      <c r="E451" s="68">
        <v>121</v>
      </c>
      <c r="F451" s="131">
        <f>'ПР 8 ведом'!G72</f>
        <v>335.92720000000003</v>
      </c>
      <c r="G451" s="131">
        <f>'ПР 8 ведом'!H72</f>
        <v>329.14840000000004</v>
      </c>
      <c r="H451" s="90"/>
      <c r="I451" s="90"/>
      <c r="J451" s="90"/>
      <c r="K451" s="90"/>
      <c r="L451" s="90"/>
      <c r="M451" s="90"/>
    </row>
    <row r="452" spans="1:13" s="52" customFormat="1" ht="16.5" customHeight="1" x14ac:dyDescent="0.2">
      <c r="A452" s="69" t="s">
        <v>170</v>
      </c>
      <c r="B452" s="68" t="s">
        <v>120</v>
      </c>
      <c r="C452" s="67" t="s">
        <v>160</v>
      </c>
      <c r="D452" s="68" t="s">
        <v>167</v>
      </c>
      <c r="E452" s="68">
        <v>129</v>
      </c>
      <c r="F452" s="131">
        <f>'ПР 8 ведом'!G73</f>
        <v>101.4204</v>
      </c>
      <c r="G452" s="131">
        <f>'ПР 8 ведом'!H73</f>
        <v>99.373800000000017</v>
      </c>
      <c r="H452" s="90"/>
      <c r="I452" s="90"/>
      <c r="J452" s="90"/>
      <c r="K452" s="90"/>
      <c r="L452" s="90"/>
      <c r="M452" s="90"/>
    </row>
    <row r="453" spans="1:13" s="52" customFormat="1" ht="22.5" x14ac:dyDescent="0.2">
      <c r="A453" s="66" t="s">
        <v>146</v>
      </c>
      <c r="B453" s="68" t="s">
        <v>120</v>
      </c>
      <c r="C453" s="67" t="s">
        <v>160</v>
      </c>
      <c r="D453" s="68" t="s">
        <v>177</v>
      </c>
      <c r="E453" s="68"/>
      <c r="F453" s="131">
        <f>F454+F458</f>
        <v>8510.5719999999983</v>
      </c>
      <c r="G453" s="131">
        <f>G454+G458</f>
        <v>8338.8340000000007</v>
      </c>
      <c r="H453" s="90"/>
      <c r="I453" s="90"/>
      <c r="J453" s="90"/>
      <c r="K453" s="90"/>
      <c r="L453" s="90"/>
      <c r="M453" s="90"/>
    </row>
    <row r="454" spans="1:13" s="52" customFormat="1" ht="12" customHeight="1" x14ac:dyDescent="0.2">
      <c r="A454" s="66" t="s">
        <v>139</v>
      </c>
      <c r="B454" s="68" t="s">
        <v>120</v>
      </c>
      <c r="C454" s="67" t="s">
        <v>160</v>
      </c>
      <c r="D454" s="68" t="s">
        <v>178</v>
      </c>
      <c r="E454" s="68">
        <v>100</v>
      </c>
      <c r="F454" s="131">
        <f>F455</f>
        <v>8385.6919999999991</v>
      </c>
      <c r="G454" s="131">
        <f>G455</f>
        <v>8216.4740000000002</v>
      </c>
      <c r="H454" s="90"/>
      <c r="I454" s="90"/>
      <c r="J454" s="90"/>
      <c r="K454" s="90"/>
      <c r="L454" s="90"/>
      <c r="M454" s="90"/>
    </row>
    <row r="455" spans="1:13" s="52" customFormat="1" ht="33" customHeight="1" x14ac:dyDescent="0.2">
      <c r="A455" s="66" t="s">
        <v>141</v>
      </c>
      <c r="B455" s="68" t="s">
        <v>120</v>
      </c>
      <c r="C455" s="67" t="s">
        <v>160</v>
      </c>
      <c r="D455" s="68" t="s">
        <v>178</v>
      </c>
      <c r="E455" s="68">
        <v>110</v>
      </c>
      <c r="F455" s="131">
        <f>F456+F457</f>
        <v>8385.6919999999991</v>
      </c>
      <c r="G455" s="131">
        <f>G456+G457</f>
        <v>8216.4740000000002</v>
      </c>
      <c r="H455" s="90"/>
      <c r="I455" s="90"/>
      <c r="J455" s="90"/>
      <c r="K455" s="90"/>
      <c r="L455" s="90"/>
      <c r="M455" s="90"/>
    </row>
    <row r="456" spans="1:13" s="52" customFormat="1" ht="21.75" customHeight="1" x14ac:dyDescent="0.2">
      <c r="A456" s="66" t="s">
        <v>142</v>
      </c>
      <c r="B456" s="68" t="s">
        <v>120</v>
      </c>
      <c r="C456" s="67" t="s">
        <v>160</v>
      </c>
      <c r="D456" s="68" t="s">
        <v>178</v>
      </c>
      <c r="E456" s="68">
        <v>111</v>
      </c>
      <c r="F456" s="131">
        <f>'ПР 8 ведом'!G77</f>
        <v>6440.6859999999997</v>
      </c>
      <c r="G456" s="131">
        <f>'ПР 8 ведом'!H77</f>
        <v>6310.7170000000006</v>
      </c>
      <c r="H456" s="90"/>
      <c r="I456" s="90"/>
      <c r="J456" s="90"/>
      <c r="K456" s="90"/>
      <c r="L456" s="90"/>
      <c r="M456" s="90"/>
    </row>
    <row r="457" spans="1:13" s="52" customFormat="1" ht="23.25" customHeight="1" x14ac:dyDescent="0.2">
      <c r="A457" s="69" t="s">
        <v>143</v>
      </c>
      <c r="B457" s="68" t="s">
        <v>120</v>
      </c>
      <c r="C457" s="67" t="s">
        <v>160</v>
      </c>
      <c r="D457" s="68" t="s">
        <v>178</v>
      </c>
      <c r="E457" s="68">
        <v>119</v>
      </c>
      <c r="F457" s="131">
        <f>'ПР 8 ведом'!G78</f>
        <v>1945.0060000000001</v>
      </c>
      <c r="G457" s="131">
        <f>'ПР 8 ведом'!H78</f>
        <v>1905.7570000000003</v>
      </c>
      <c r="H457" s="90"/>
      <c r="I457" s="90"/>
      <c r="J457" s="90"/>
      <c r="K457" s="90"/>
      <c r="L457" s="90"/>
      <c r="M457" s="90"/>
    </row>
    <row r="458" spans="1:13" s="52" customFormat="1" ht="23.25" customHeight="1" x14ac:dyDescent="0.2">
      <c r="A458" s="66" t="s">
        <v>149</v>
      </c>
      <c r="B458" s="68" t="s">
        <v>120</v>
      </c>
      <c r="C458" s="67" t="s">
        <v>160</v>
      </c>
      <c r="D458" s="68" t="s">
        <v>179</v>
      </c>
      <c r="E458" s="68" t="s">
        <v>150</v>
      </c>
      <c r="F458" s="131">
        <f>SUM(F459)</f>
        <v>124.88000000000001</v>
      </c>
      <c r="G458" s="131">
        <f>SUM(G459)</f>
        <v>122.36000000000001</v>
      </c>
      <c r="H458" s="90"/>
      <c r="I458" s="90"/>
      <c r="J458" s="90"/>
      <c r="K458" s="90"/>
      <c r="L458" s="90"/>
      <c r="M458" s="90"/>
    </row>
    <row r="459" spans="1:13" s="52" customFormat="1" ht="21.75" customHeight="1" x14ac:dyDescent="0.2">
      <c r="A459" s="66" t="s">
        <v>151</v>
      </c>
      <c r="B459" s="68" t="s">
        <v>120</v>
      </c>
      <c r="C459" s="67" t="s">
        <v>160</v>
      </c>
      <c r="D459" s="68" t="s">
        <v>179</v>
      </c>
      <c r="E459" s="68" t="s">
        <v>152</v>
      </c>
      <c r="F459" s="131">
        <f>F461+F460</f>
        <v>124.88000000000001</v>
      </c>
      <c r="G459" s="131">
        <f>G461+G460</f>
        <v>122.36000000000001</v>
      </c>
      <c r="H459" s="90"/>
      <c r="I459" s="90"/>
      <c r="J459" s="90"/>
      <c r="K459" s="90"/>
      <c r="L459" s="90"/>
      <c r="M459" s="90"/>
    </row>
    <row r="460" spans="1:13" s="52" customFormat="1" ht="21.75" customHeight="1" x14ac:dyDescent="0.2">
      <c r="A460" s="70" t="s">
        <v>171</v>
      </c>
      <c r="B460" s="68" t="s">
        <v>120</v>
      </c>
      <c r="C460" s="67" t="s">
        <v>160</v>
      </c>
      <c r="D460" s="68" t="s">
        <v>179</v>
      </c>
      <c r="E460" s="68">
        <v>242</v>
      </c>
      <c r="F460" s="131">
        <f>'ПР 8 ведом'!G81</f>
        <v>98.12</v>
      </c>
      <c r="G460" s="131">
        <f>'ПР 8 ведом'!H81</f>
        <v>96.140000000000015</v>
      </c>
      <c r="H460" s="90"/>
      <c r="I460" s="90"/>
      <c r="J460" s="90"/>
      <c r="K460" s="90"/>
      <c r="L460" s="90"/>
      <c r="M460" s="90"/>
    </row>
    <row r="461" spans="1:13" s="74" customFormat="1" ht="26.25" customHeight="1" x14ac:dyDescent="0.2">
      <c r="A461" s="70" t="s">
        <v>153</v>
      </c>
      <c r="B461" s="68" t="s">
        <v>120</v>
      </c>
      <c r="C461" s="67" t="s">
        <v>160</v>
      </c>
      <c r="D461" s="68" t="s">
        <v>179</v>
      </c>
      <c r="E461" s="68" t="s">
        <v>154</v>
      </c>
      <c r="F461" s="131">
        <f>'ПР 8 ведом'!G82</f>
        <v>26.76</v>
      </c>
      <c r="G461" s="131">
        <f>'ПР 8 ведом'!H82</f>
        <v>26.220000000000002</v>
      </c>
      <c r="H461" s="150"/>
      <c r="I461" s="150"/>
      <c r="J461" s="150"/>
      <c r="K461" s="150"/>
      <c r="L461" s="150"/>
      <c r="M461" s="150"/>
    </row>
    <row r="462" spans="1:13" s="74" customFormat="1" ht="15.75" customHeight="1" x14ac:dyDescent="0.2">
      <c r="A462" s="341" t="s">
        <v>456</v>
      </c>
      <c r="B462" s="328" t="s">
        <v>262</v>
      </c>
      <c r="C462" s="337" t="s">
        <v>182</v>
      </c>
      <c r="D462" s="328" t="s">
        <v>183</v>
      </c>
      <c r="E462" s="328" t="s">
        <v>184</v>
      </c>
      <c r="F462" s="338">
        <f t="shared" ref="F462:G468" si="32">F463</f>
        <v>178.4</v>
      </c>
      <c r="G462" s="338">
        <f t="shared" si="32"/>
        <v>174.8</v>
      </c>
      <c r="H462" s="150"/>
      <c r="I462" s="150"/>
      <c r="J462" s="150"/>
      <c r="K462" s="150"/>
      <c r="L462" s="150"/>
      <c r="M462" s="150"/>
    </row>
    <row r="463" spans="1:13" s="52" customFormat="1" ht="27" customHeight="1" x14ac:dyDescent="0.2">
      <c r="A463" s="66" t="s">
        <v>457</v>
      </c>
      <c r="B463" s="68" t="s">
        <v>262</v>
      </c>
      <c r="C463" s="67" t="s">
        <v>262</v>
      </c>
      <c r="D463" s="68" t="s">
        <v>183</v>
      </c>
      <c r="E463" s="68" t="s">
        <v>184</v>
      </c>
      <c r="F463" s="131">
        <f t="shared" si="32"/>
        <v>178.4</v>
      </c>
      <c r="G463" s="131">
        <f t="shared" si="32"/>
        <v>174.8</v>
      </c>
      <c r="H463" s="90"/>
      <c r="I463" s="90"/>
      <c r="J463" s="90"/>
      <c r="K463" s="90"/>
      <c r="L463" s="90"/>
      <c r="M463" s="90"/>
    </row>
    <row r="464" spans="1:13" s="52" customFormat="1" ht="32.25" x14ac:dyDescent="0.2">
      <c r="A464" s="301" t="s">
        <v>458</v>
      </c>
      <c r="B464" s="96" t="s">
        <v>262</v>
      </c>
      <c r="C464" s="94" t="s">
        <v>262</v>
      </c>
      <c r="D464" s="96" t="s">
        <v>459</v>
      </c>
      <c r="E464" s="96"/>
      <c r="F464" s="131">
        <f t="shared" ref="F464:G466" si="33">F465</f>
        <v>178.4</v>
      </c>
      <c r="G464" s="131">
        <f t="shared" si="33"/>
        <v>174.8</v>
      </c>
      <c r="H464" s="90"/>
      <c r="I464" s="90"/>
      <c r="J464" s="90"/>
      <c r="K464" s="90"/>
      <c r="L464" s="90"/>
      <c r="M464" s="90"/>
    </row>
    <row r="465" spans="1:13" s="52" customFormat="1" ht="12.75" customHeight="1" x14ac:dyDescent="0.2">
      <c r="A465" s="66" t="s">
        <v>460</v>
      </c>
      <c r="B465" s="68" t="s">
        <v>262</v>
      </c>
      <c r="C465" s="67" t="s">
        <v>262</v>
      </c>
      <c r="D465" s="68" t="s">
        <v>461</v>
      </c>
      <c r="E465" s="68" t="s">
        <v>184</v>
      </c>
      <c r="F465" s="131">
        <f t="shared" si="33"/>
        <v>178.4</v>
      </c>
      <c r="G465" s="131">
        <f t="shared" si="33"/>
        <v>174.8</v>
      </c>
      <c r="H465" s="90"/>
      <c r="I465" s="90"/>
      <c r="J465" s="90"/>
      <c r="K465" s="90"/>
      <c r="L465" s="90"/>
      <c r="M465" s="90"/>
    </row>
    <row r="466" spans="1:13" s="52" customFormat="1" ht="18" customHeight="1" x14ac:dyDescent="0.2">
      <c r="A466" s="66" t="s">
        <v>462</v>
      </c>
      <c r="B466" s="68" t="s">
        <v>262</v>
      </c>
      <c r="C466" s="67" t="s">
        <v>262</v>
      </c>
      <c r="D466" s="68" t="s">
        <v>463</v>
      </c>
      <c r="E466" s="68"/>
      <c r="F466" s="131">
        <f t="shared" si="33"/>
        <v>178.4</v>
      </c>
      <c r="G466" s="131">
        <f t="shared" si="33"/>
        <v>174.8</v>
      </c>
      <c r="H466" s="90"/>
      <c r="I466" s="90"/>
      <c r="J466" s="90"/>
      <c r="K466" s="90"/>
      <c r="L466" s="90"/>
      <c r="M466" s="90"/>
    </row>
    <row r="467" spans="1:13" s="52" customFormat="1" ht="34.5" customHeight="1" x14ac:dyDescent="0.2">
      <c r="A467" s="66" t="s">
        <v>149</v>
      </c>
      <c r="B467" s="68" t="s">
        <v>262</v>
      </c>
      <c r="C467" s="67" t="s">
        <v>262</v>
      </c>
      <c r="D467" s="68" t="s">
        <v>463</v>
      </c>
      <c r="E467" s="68" t="s">
        <v>150</v>
      </c>
      <c r="F467" s="131">
        <f t="shared" si="32"/>
        <v>178.4</v>
      </c>
      <c r="G467" s="131">
        <f t="shared" si="32"/>
        <v>174.8</v>
      </c>
      <c r="H467" s="90"/>
      <c r="I467" s="90"/>
      <c r="J467" s="90"/>
      <c r="K467" s="90"/>
      <c r="L467" s="90"/>
      <c r="M467" s="90"/>
    </row>
    <row r="468" spans="1:13" s="52" customFormat="1" ht="24" customHeight="1" x14ac:dyDescent="0.2">
      <c r="A468" s="66" t="s">
        <v>151</v>
      </c>
      <c r="B468" s="68" t="s">
        <v>262</v>
      </c>
      <c r="C468" s="67" t="s">
        <v>262</v>
      </c>
      <c r="D468" s="68" t="s">
        <v>463</v>
      </c>
      <c r="E468" s="68" t="s">
        <v>152</v>
      </c>
      <c r="F468" s="131">
        <f t="shared" si="32"/>
        <v>178.4</v>
      </c>
      <c r="G468" s="131">
        <f t="shared" si="32"/>
        <v>174.8</v>
      </c>
      <c r="H468" s="90"/>
      <c r="I468" s="90"/>
      <c r="J468" s="90"/>
      <c r="K468" s="90"/>
      <c r="L468" s="90"/>
      <c r="M468" s="90"/>
    </row>
    <row r="469" spans="1:13" s="52" customFormat="1" ht="24" customHeight="1" x14ac:dyDescent="0.2">
      <c r="A469" s="70" t="s">
        <v>153</v>
      </c>
      <c r="B469" s="68" t="s">
        <v>262</v>
      </c>
      <c r="C469" s="67" t="s">
        <v>262</v>
      </c>
      <c r="D469" s="68" t="s">
        <v>463</v>
      </c>
      <c r="E469" s="68" t="s">
        <v>154</v>
      </c>
      <c r="F469" s="140">
        <f>'ПР 8 ведом'!G585</f>
        <v>178.4</v>
      </c>
      <c r="G469" s="140">
        <f>'ПР 8 ведом'!H585</f>
        <v>174.8</v>
      </c>
      <c r="H469" s="90"/>
      <c r="I469" s="90"/>
      <c r="J469" s="90"/>
      <c r="K469" s="90"/>
      <c r="L469" s="90"/>
      <c r="M469" s="90"/>
    </row>
    <row r="470" spans="1:13" s="52" customFormat="1" ht="24" customHeight="1" x14ac:dyDescent="0.2">
      <c r="A470" s="341" t="s">
        <v>185</v>
      </c>
      <c r="B470" s="328" t="s">
        <v>186</v>
      </c>
      <c r="C470" s="337" t="s">
        <v>182</v>
      </c>
      <c r="D470" s="328" t="s">
        <v>183</v>
      </c>
      <c r="E470" s="328" t="s">
        <v>184</v>
      </c>
      <c r="F470" s="338">
        <f>F471+F528+F541</f>
        <v>62650.6976</v>
      </c>
      <c r="G470" s="338">
        <f>G471+G528+G541</f>
        <v>61472.08400000001</v>
      </c>
      <c r="H470" s="90"/>
      <c r="I470" s="90"/>
      <c r="J470" s="90"/>
      <c r="K470" s="90"/>
      <c r="L470" s="90"/>
      <c r="M470" s="90"/>
    </row>
    <row r="471" spans="1:13" s="52" customFormat="1" ht="24" customHeight="1" x14ac:dyDescent="0.2">
      <c r="A471" s="61" t="s">
        <v>187</v>
      </c>
      <c r="B471" s="96" t="s">
        <v>186</v>
      </c>
      <c r="C471" s="94" t="s">
        <v>188</v>
      </c>
      <c r="D471" s="68"/>
      <c r="E471" s="68"/>
      <c r="F471" s="138">
        <f>F472+F523</f>
        <v>26966.179999999997</v>
      </c>
      <c r="G471" s="138">
        <f>G472+G523</f>
        <v>27107.960000000003</v>
      </c>
      <c r="H471" s="90"/>
      <c r="I471" s="90"/>
      <c r="J471" s="90"/>
      <c r="K471" s="90"/>
      <c r="L471" s="90"/>
      <c r="M471" s="90"/>
    </row>
    <row r="472" spans="1:13" s="52" customFormat="1" ht="24" customHeight="1" x14ac:dyDescent="0.2">
      <c r="A472" s="61" t="s">
        <v>189</v>
      </c>
      <c r="B472" s="96">
        <v>10</v>
      </c>
      <c r="C472" s="94" t="s">
        <v>188</v>
      </c>
      <c r="D472" s="96" t="s">
        <v>190</v>
      </c>
      <c r="E472" s="68"/>
      <c r="F472" s="138">
        <f>F473+F492+F514</f>
        <v>26074.179999999997</v>
      </c>
      <c r="G472" s="138">
        <f>G473+G492+G514</f>
        <v>26233.960000000003</v>
      </c>
      <c r="H472" s="90"/>
      <c r="I472" s="90"/>
      <c r="J472" s="90"/>
      <c r="K472" s="90"/>
      <c r="L472" s="90"/>
      <c r="M472" s="90"/>
    </row>
    <row r="473" spans="1:13" s="52" customFormat="1" ht="24" customHeight="1" x14ac:dyDescent="0.2">
      <c r="A473" s="66" t="s">
        <v>191</v>
      </c>
      <c r="B473" s="73" t="s">
        <v>186</v>
      </c>
      <c r="C473" s="73" t="s">
        <v>188</v>
      </c>
      <c r="D473" s="73" t="s">
        <v>192</v>
      </c>
      <c r="E473" s="78"/>
      <c r="F473" s="131">
        <f>F474+F479+F487</f>
        <v>17532.699999999997</v>
      </c>
      <c r="G473" s="131">
        <f>G474+G479+G487</f>
        <v>17645.500000000004</v>
      </c>
      <c r="H473" s="90"/>
      <c r="I473" s="90"/>
      <c r="J473" s="90"/>
      <c r="K473" s="90"/>
      <c r="L473" s="90"/>
      <c r="M473" s="90"/>
    </row>
    <row r="474" spans="1:13" s="52" customFormat="1" ht="22.5" x14ac:dyDescent="0.2">
      <c r="A474" s="66" t="s">
        <v>193</v>
      </c>
      <c r="B474" s="73" t="s">
        <v>186</v>
      </c>
      <c r="C474" s="73" t="s">
        <v>188</v>
      </c>
      <c r="D474" s="73" t="s">
        <v>194</v>
      </c>
      <c r="E474" s="78"/>
      <c r="F474" s="138">
        <f t="shared" ref="F474:G477" si="34">F475</f>
        <v>6965.6</v>
      </c>
      <c r="G474" s="138">
        <f t="shared" si="34"/>
        <v>7010.4</v>
      </c>
      <c r="H474" s="157"/>
      <c r="I474" s="90"/>
      <c r="J474" s="90"/>
      <c r="K474" s="90"/>
      <c r="L474" s="90"/>
      <c r="M474" s="90"/>
    </row>
    <row r="475" spans="1:13" s="52" customFormat="1" x14ac:dyDescent="0.2">
      <c r="A475" s="75" t="s">
        <v>195</v>
      </c>
      <c r="B475" s="73" t="s">
        <v>186</v>
      </c>
      <c r="C475" s="73" t="s">
        <v>188</v>
      </c>
      <c r="D475" s="73" t="s">
        <v>196</v>
      </c>
      <c r="E475" s="78"/>
      <c r="F475" s="138">
        <f t="shared" si="34"/>
        <v>6965.6</v>
      </c>
      <c r="G475" s="138">
        <f t="shared" si="34"/>
        <v>7010.4</v>
      </c>
      <c r="H475" s="90"/>
      <c r="I475" s="90"/>
      <c r="J475" s="90"/>
      <c r="K475" s="90"/>
      <c r="L475" s="90"/>
      <c r="M475" s="90"/>
    </row>
    <row r="476" spans="1:13" s="52" customFormat="1" ht="23.25" customHeight="1" x14ac:dyDescent="0.2">
      <c r="A476" s="75" t="s">
        <v>197</v>
      </c>
      <c r="B476" s="73" t="s">
        <v>186</v>
      </c>
      <c r="C476" s="73" t="s">
        <v>188</v>
      </c>
      <c r="D476" s="73" t="s">
        <v>196</v>
      </c>
      <c r="E476" s="73" t="s">
        <v>198</v>
      </c>
      <c r="F476" s="131">
        <f t="shared" si="34"/>
        <v>6965.6</v>
      </c>
      <c r="G476" s="131">
        <f t="shared" si="34"/>
        <v>7010.4</v>
      </c>
      <c r="H476" s="90"/>
      <c r="I476" s="90"/>
      <c r="J476" s="90"/>
      <c r="K476" s="90"/>
      <c r="L476" s="90"/>
      <c r="M476" s="90"/>
    </row>
    <row r="477" spans="1:13" s="52" customFormat="1" ht="31.5" customHeight="1" x14ac:dyDescent="0.2">
      <c r="A477" s="75" t="s">
        <v>199</v>
      </c>
      <c r="B477" s="73" t="s">
        <v>186</v>
      </c>
      <c r="C477" s="73" t="s">
        <v>188</v>
      </c>
      <c r="D477" s="73" t="s">
        <v>196</v>
      </c>
      <c r="E477" s="78">
        <v>310</v>
      </c>
      <c r="F477" s="131">
        <f t="shared" si="34"/>
        <v>6965.6</v>
      </c>
      <c r="G477" s="131">
        <f t="shared" si="34"/>
        <v>7010.4</v>
      </c>
      <c r="H477" s="90"/>
      <c r="I477" s="90"/>
      <c r="J477" s="90"/>
      <c r="K477" s="90"/>
      <c r="L477" s="90"/>
      <c r="M477" s="90"/>
    </row>
    <row r="478" spans="1:13" s="52" customFormat="1" ht="36" customHeight="1" x14ac:dyDescent="0.2">
      <c r="A478" s="70" t="s">
        <v>572</v>
      </c>
      <c r="B478" s="73" t="s">
        <v>186</v>
      </c>
      <c r="C478" s="73" t="s">
        <v>188</v>
      </c>
      <c r="D478" s="73" t="s">
        <v>196</v>
      </c>
      <c r="E478" s="78">
        <v>313</v>
      </c>
      <c r="F478" s="131">
        <f>'ПР 8 ведом'!G92</f>
        <v>6965.6</v>
      </c>
      <c r="G478" s="131">
        <f>'ПР 8 ведом'!H92</f>
        <v>7010.4</v>
      </c>
      <c r="H478" s="90"/>
      <c r="I478" s="90"/>
      <c r="J478" s="90"/>
      <c r="K478" s="90"/>
      <c r="L478" s="90"/>
      <c r="M478" s="90"/>
    </row>
    <row r="479" spans="1:13" s="52" customFormat="1" ht="24.75" customHeight="1" x14ac:dyDescent="0.2">
      <c r="A479" s="66" t="s">
        <v>204</v>
      </c>
      <c r="B479" s="68">
        <v>10</v>
      </c>
      <c r="C479" s="67" t="s">
        <v>188</v>
      </c>
      <c r="D479" s="68" t="s">
        <v>205</v>
      </c>
      <c r="E479" s="68" t="s">
        <v>184</v>
      </c>
      <c r="F479" s="131">
        <f>F480</f>
        <v>10320</v>
      </c>
      <c r="G479" s="131">
        <f>G480</f>
        <v>10386.400000000001</v>
      </c>
      <c r="H479" s="90"/>
      <c r="I479" s="90"/>
      <c r="J479" s="90"/>
      <c r="K479" s="90"/>
      <c r="L479" s="90"/>
      <c r="M479" s="90"/>
    </row>
    <row r="480" spans="1:13" s="52" customFormat="1" ht="22.5" x14ac:dyDescent="0.2">
      <c r="A480" s="66" t="s">
        <v>73</v>
      </c>
      <c r="B480" s="68" t="s">
        <v>186</v>
      </c>
      <c r="C480" s="67" t="s">
        <v>188</v>
      </c>
      <c r="D480" s="68" t="s">
        <v>206</v>
      </c>
      <c r="E480" s="68"/>
      <c r="F480" s="131">
        <f>F481+F484</f>
        <v>10320</v>
      </c>
      <c r="G480" s="131">
        <f>G481+G484</f>
        <v>10386.400000000001</v>
      </c>
      <c r="H480" s="148"/>
      <c r="I480" s="90"/>
      <c r="J480" s="90"/>
      <c r="K480" s="90"/>
      <c r="L480" s="90"/>
      <c r="M480" s="90"/>
    </row>
    <row r="481" spans="1:13" s="52" customFormat="1" ht="38.25" customHeight="1" x14ac:dyDescent="0.2">
      <c r="A481" s="83" t="s">
        <v>650</v>
      </c>
      <c r="B481" s="68" t="s">
        <v>186</v>
      </c>
      <c r="C481" s="67" t="s">
        <v>188</v>
      </c>
      <c r="D481" s="68" t="s">
        <v>206</v>
      </c>
      <c r="E481" s="68" t="s">
        <v>150</v>
      </c>
      <c r="F481" s="139">
        <f>F482</f>
        <v>166.7</v>
      </c>
      <c r="G481" s="139">
        <f>G482</f>
        <v>166.7</v>
      </c>
      <c r="H481" s="90"/>
      <c r="I481" s="90"/>
      <c r="J481" s="90"/>
      <c r="K481" s="90"/>
      <c r="L481" s="90"/>
      <c r="M481" s="90"/>
    </row>
    <row r="482" spans="1:13" s="52" customFormat="1" ht="38.25" customHeight="1" x14ac:dyDescent="0.2">
      <c r="A482" s="83" t="s">
        <v>151</v>
      </c>
      <c r="B482" s="68" t="s">
        <v>186</v>
      </c>
      <c r="C482" s="67" t="s">
        <v>188</v>
      </c>
      <c r="D482" s="68" t="s">
        <v>206</v>
      </c>
      <c r="E482" s="68" t="s">
        <v>152</v>
      </c>
      <c r="F482" s="139">
        <f>F483</f>
        <v>166.7</v>
      </c>
      <c r="G482" s="139">
        <f>G483</f>
        <v>166.7</v>
      </c>
      <c r="H482" s="90"/>
      <c r="I482" s="90"/>
      <c r="J482" s="90"/>
      <c r="K482" s="90"/>
      <c r="L482" s="90"/>
      <c r="M482" s="90"/>
    </row>
    <row r="483" spans="1:13" s="52" customFormat="1" ht="11.25" customHeight="1" x14ac:dyDescent="0.2">
      <c r="A483" s="115" t="s">
        <v>153</v>
      </c>
      <c r="B483" s="68" t="s">
        <v>186</v>
      </c>
      <c r="C483" s="67" t="s">
        <v>188</v>
      </c>
      <c r="D483" s="68" t="s">
        <v>206</v>
      </c>
      <c r="E483" s="68" t="s">
        <v>154</v>
      </c>
      <c r="F483" s="139">
        <f>'ПР 8 ведом'!G97</f>
        <v>166.7</v>
      </c>
      <c r="G483" s="139">
        <f>'ПР 8 ведом'!H97</f>
        <v>166.7</v>
      </c>
      <c r="H483" s="90"/>
      <c r="I483" s="90"/>
      <c r="J483" s="90"/>
      <c r="K483" s="90"/>
      <c r="L483" s="90"/>
      <c r="M483" s="90"/>
    </row>
    <row r="484" spans="1:13" s="52" customFormat="1" ht="24.75" customHeight="1" x14ac:dyDescent="0.2">
      <c r="A484" s="75" t="s">
        <v>197</v>
      </c>
      <c r="B484" s="68" t="s">
        <v>186</v>
      </c>
      <c r="C484" s="67" t="s">
        <v>188</v>
      </c>
      <c r="D484" s="68" t="s">
        <v>206</v>
      </c>
      <c r="E484" s="68">
        <v>300</v>
      </c>
      <c r="F484" s="139">
        <f>F485</f>
        <v>10153.299999999999</v>
      </c>
      <c r="G484" s="139">
        <f>G485</f>
        <v>10219.700000000001</v>
      </c>
      <c r="H484" s="90"/>
      <c r="I484" s="90"/>
      <c r="J484" s="90"/>
      <c r="K484" s="90"/>
      <c r="L484" s="90"/>
      <c r="M484" s="90"/>
    </row>
    <row r="485" spans="1:13" s="52" customFormat="1" ht="32.25" customHeight="1" x14ac:dyDescent="0.2">
      <c r="A485" s="75" t="s">
        <v>199</v>
      </c>
      <c r="B485" s="68" t="s">
        <v>186</v>
      </c>
      <c r="C485" s="67" t="s">
        <v>188</v>
      </c>
      <c r="D485" s="68" t="s">
        <v>206</v>
      </c>
      <c r="E485" s="68">
        <v>310</v>
      </c>
      <c r="F485" s="139">
        <f>F486</f>
        <v>10153.299999999999</v>
      </c>
      <c r="G485" s="139">
        <f>G486</f>
        <v>10219.700000000001</v>
      </c>
      <c r="H485" s="90"/>
      <c r="I485" s="90"/>
      <c r="J485" s="90"/>
      <c r="K485" s="90"/>
      <c r="L485" s="90"/>
      <c r="M485" s="90"/>
    </row>
    <row r="486" spans="1:13" s="52" customFormat="1" ht="13.5" customHeight="1" x14ac:dyDescent="0.2">
      <c r="A486" s="70" t="s">
        <v>200</v>
      </c>
      <c r="B486" s="68">
        <v>10</v>
      </c>
      <c r="C486" s="67" t="s">
        <v>188</v>
      </c>
      <c r="D486" s="68" t="s">
        <v>206</v>
      </c>
      <c r="E486" s="68">
        <v>313</v>
      </c>
      <c r="F486" s="139">
        <f>'ПР 8 ведом'!G100</f>
        <v>10153.299999999999</v>
      </c>
      <c r="G486" s="139">
        <f>'ПР 8 ведом'!H100</f>
        <v>10219.700000000001</v>
      </c>
      <c r="H486" s="90"/>
      <c r="I486" s="90"/>
      <c r="J486" s="90"/>
      <c r="K486" s="90"/>
      <c r="L486" s="90"/>
      <c r="M486" s="90"/>
    </row>
    <row r="487" spans="1:13" s="52" customFormat="1" ht="37.5" customHeight="1" x14ac:dyDescent="0.2">
      <c r="A487" s="75" t="s">
        <v>207</v>
      </c>
      <c r="B487" s="73" t="s">
        <v>186</v>
      </c>
      <c r="C487" s="73" t="s">
        <v>188</v>
      </c>
      <c r="D487" s="73" t="s">
        <v>208</v>
      </c>
      <c r="E487" s="73"/>
      <c r="F487" s="139">
        <f t="shared" ref="F487:G490" si="35">F488</f>
        <v>247.1</v>
      </c>
      <c r="G487" s="139">
        <f t="shared" si="35"/>
        <v>248.7</v>
      </c>
      <c r="H487" s="90"/>
      <c r="I487" s="90"/>
      <c r="J487" s="90"/>
      <c r="K487" s="90"/>
      <c r="L487" s="90"/>
      <c r="M487" s="90"/>
    </row>
    <row r="488" spans="1:13" s="52" customFormat="1" ht="12.75" customHeight="1" x14ac:dyDescent="0.2">
      <c r="A488" s="75" t="s">
        <v>662</v>
      </c>
      <c r="B488" s="73" t="s">
        <v>186</v>
      </c>
      <c r="C488" s="73" t="s">
        <v>188</v>
      </c>
      <c r="D488" s="73" t="s">
        <v>209</v>
      </c>
      <c r="E488" s="73"/>
      <c r="F488" s="131">
        <f t="shared" si="35"/>
        <v>247.1</v>
      </c>
      <c r="G488" s="131">
        <f t="shared" si="35"/>
        <v>248.7</v>
      </c>
      <c r="H488" s="90"/>
      <c r="I488" s="90"/>
      <c r="J488" s="90"/>
      <c r="K488" s="90"/>
      <c r="L488" s="90"/>
      <c r="M488" s="90"/>
    </row>
    <row r="489" spans="1:13" s="52" customFormat="1" ht="35.25" customHeight="1" x14ac:dyDescent="0.2">
      <c r="A489" s="75" t="s">
        <v>197</v>
      </c>
      <c r="B489" s="73" t="s">
        <v>186</v>
      </c>
      <c r="C489" s="73" t="s">
        <v>188</v>
      </c>
      <c r="D489" s="73" t="s">
        <v>209</v>
      </c>
      <c r="E489" s="73" t="s">
        <v>198</v>
      </c>
      <c r="F489" s="139">
        <f t="shared" si="35"/>
        <v>247.1</v>
      </c>
      <c r="G489" s="139">
        <f t="shared" si="35"/>
        <v>248.7</v>
      </c>
      <c r="H489" s="90"/>
      <c r="I489" s="90"/>
      <c r="J489" s="90"/>
      <c r="K489" s="90"/>
      <c r="L489" s="90"/>
      <c r="M489" s="90"/>
    </row>
    <row r="490" spans="1:13" s="52" customFormat="1" ht="31.5" customHeight="1" x14ac:dyDescent="0.2">
      <c r="A490" s="75" t="s">
        <v>199</v>
      </c>
      <c r="B490" s="73" t="s">
        <v>186</v>
      </c>
      <c r="C490" s="73" t="s">
        <v>188</v>
      </c>
      <c r="D490" s="73" t="s">
        <v>209</v>
      </c>
      <c r="E490" s="78">
        <v>310</v>
      </c>
      <c r="F490" s="139">
        <f t="shared" si="35"/>
        <v>247.1</v>
      </c>
      <c r="G490" s="139">
        <f t="shared" si="35"/>
        <v>248.7</v>
      </c>
      <c r="H490" s="90"/>
      <c r="I490" s="90"/>
      <c r="J490" s="90"/>
      <c r="K490" s="90"/>
      <c r="L490" s="90"/>
      <c r="M490" s="90"/>
    </row>
    <row r="491" spans="1:13" s="79" customFormat="1" ht="31.5" customHeight="1" x14ac:dyDescent="0.2">
      <c r="A491" s="70" t="s">
        <v>200</v>
      </c>
      <c r="B491" s="73" t="s">
        <v>186</v>
      </c>
      <c r="C491" s="73" t="s">
        <v>188</v>
      </c>
      <c r="D491" s="73" t="s">
        <v>209</v>
      </c>
      <c r="E491" s="78">
        <v>313</v>
      </c>
      <c r="F491" s="139">
        <f>'ПР 8 ведом'!G105</f>
        <v>247.1</v>
      </c>
      <c r="G491" s="139">
        <f>'ПР 8 ведом'!H105</f>
        <v>248.7</v>
      </c>
      <c r="H491" s="214"/>
      <c r="I491" s="151"/>
      <c r="J491" s="151"/>
      <c r="K491" s="151"/>
      <c r="L491" s="151"/>
      <c r="M491" s="151"/>
    </row>
    <row r="492" spans="1:13" s="79" customFormat="1" ht="21.75" customHeight="1" x14ac:dyDescent="0.2">
      <c r="A492" s="80" t="s">
        <v>210</v>
      </c>
      <c r="B492" s="68">
        <v>10</v>
      </c>
      <c r="C492" s="67" t="s">
        <v>188</v>
      </c>
      <c r="D492" s="68" t="s">
        <v>211</v>
      </c>
      <c r="E492" s="68"/>
      <c r="F492" s="131">
        <f>F493+F501+F506</f>
        <v>8238.2000000000007</v>
      </c>
      <c r="G492" s="131">
        <f>G493+G501+G506</f>
        <v>8291.2999999999993</v>
      </c>
      <c r="H492" s="151"/>
      <c r="I492" s="151"/>
      <c r="J492" s="151"/>
      <c r="K492" s="151"/>
      <c r="L492" s="151"/>
      <c r="M492" s="151"/>
    </row>
    <row r="493" spans="1:13" s="79" customFormat="1" ht="20.25" customHeight="1" x14ac:dyDescent="0.2">
      <c r="A493" s="75" t="s">
        <v>212</v>
      </c>
      <c r="B493" s="73" t="s">
        <v>186</v>
      </c>
      <c r="C493" s="73" t="s">
        <v>188</v>
      </c>
      <c r="D493" s="73" t="s">
        <v>213</v>
      </c>
      <c r="E493" s="73"/>
      <c r="F493" s="131">
        <f>F494</f>
        <v>4515.6000000000004</v>
      </c>
      <c r="G493" s="131">
        <f>G494</f>
        <v>4544.7</v>
      </c>
      <c r="H493" s="151"/>
      <c r="I493" s="151"/>
      <c r="J493" s="151"/>
      <c r="K493" s="151"/>
      <c r="L493" s="151"/>
      <c r="M493" s="151"/>
    </row>
    <row r="494" spans="1:13" s="79" customFormat="1" ht="21" customHeight="1" x14ac:dyDescent="0.2">
      <c r="A494" s="75" t="s">
        <v>78</v>
      </c>
      <c r="B494" s="73" t="s">
        <v>186</v>
      </c>
      <c r="C494" s="73" t="s">
        <v>188</v>
      </c>
      <c r="D494" s="73" t="s">
        <v>214</v>
      </c>
      <c r="E494" s="73"/>
      <c r="F494" s="131">
        <f>F495+F498</f>
        <v>4515.6000000000004</v>
      </c>
      <c r="G494" s="131">
        <f>G495+G498</f>
        <v>4544.7</v>
      </c>
      <c r="H494" s="151"/>
      <c r="I494" s="151"/>
      <c r="J494" s="151"/>
      <c r="K494" s="151"/>
      <c r="L494" s="151"/>
      <c r="M494" s="151"/>
    </row>
    <row r="495" spans="1:13" s="79" customFormat="1" ht="21" customHeight="1" x14ac:dyDescent="0.2">
      <c r="A495" s="83" t="s">
        <v>650</v>
      </c>
      <c r="B495" s="68" t="s">
        <v>186</v>
      </c>
      <c r="C495" s="67" t="s">
        <v>188</v>
      </c>
      <c r="D495" s="73" t="s">
        <v>214</v>
      </c>
      <c r="E495" s="68" t="s">
        <v>150</v>
      </c>
      <c r="F495" s="131">
        <f>F496</f>
        <v>95</v>
      </c>
      <c r="G495" s="131">
        <f>G496</f>
        <v>95</v>
      </c>
      <c r="H495" s="151"/>
      <c r="I495" s="151"/>
      <c r="J495" s="151"/>
      <c r="K495" s="151"/>
      <c r="L495" s="151"/>
      <c r="M495" s="151"/>
    </row>
    <row r="496" spans="1:13" s="79" customFormat="1" ht="21" customHeight="1" x14ac:dyDescent="0.2">
      <c r="A496" s="83" t="s">
        <v>151</v>
      </c>
      <c r="B496" s="68" t="s">
        <v>186</v>
      </c>
      <c r="C496" s="67" t="s">
        <v>188</v>
      </c>
      <c r="D496" s="73" t="s">
        <v>214</v>
      </c>
      <c r="E496" s="68" t="s">
        <v>152</v>
      </c>
      <c r="F496" s="131">
        <f>F497</f>
        <v>95</v>
      </c>
      <c r="G496" s="131">
        <f>G497</f>
        <v>95</v>
      </c>
      <c r="H496" s="151"/>
      <c r="I496" s="151"/>
      <c r="J496" s="151"/>
      <c r="K496" s="151"/>
      <c r="L496" s="151"/>
      <c r="M496" s="151"/>
    </row>
    <row r="497" spans="1:13" s="79" customFormat="1" ht="22.5" x14ac:dyDescent="0.2">
      <c r="A497" s="115" t="s">
        <v>153</v>
      </c>
      <c r="B497" s="68" t="s">
        <v>186</v>
      </c>
      <c r="C497" s="67" t="s">
        <v>188</v>
      </c>
      <c r="D497" s="73" t="s">
        <v>214</v>
      </c>
      <c r="E497" s="68" t="s">
        <v>154</v>
      </c>
      <c r="F497" s="131">
        <f>'ПР 8 ведом'!G111</f>
        <v>95</v>
      </c>
      <c r="G497" s="131">
        <f>'ПР 8 ведом'!H111</f>
        <v>95</v>
      </c>
      <c r="H497" s="151"/>
      <c r="I497" s="151"/>
      <c r="J497" s="151"/>
      <c r="K497" s="151"/>
      <c r="L497" s="151"/>
      <c r="M497" s="151"/>
    </row>
    <row r="498" spans="1:13" s="283" customFormat="1" x14ac:dyDescent="0.2">
      <c r="A498" s="75" t="s">
        <v>197</v>
      </c>
      <c r="B498" s="73" t="s">
        <v>186</v>
      </c>
      <c r="C498" s="73" t="s">
        <v>188</v>
      </c>
      <c r="D498" s="73" t="s">
        <v>214</v>
      </c>
      <c r="E498" s="73" t="s">
        <v>198</v>
      </c>
      <c r="F498" s="131">
        <f>F499</f>
        <v>4420.6000000000004</v>
      </c>
      <c r="G498" s="131">
        <f>G499</f>
        <v>4449.7</v>
      </c>
      <c r="H498" s="282"/>
      <c r="I498" s="282"/>
      <c r="J498" s="282"/>
      <c r="K498" s="282"/>
      <c r="L498" s="282"/>
      <c r="M498" s="282"/>
    </row>
    <row r="499" spans="1:13" s="79" customFormat="1" ht="15.75" customHeight="1" x14ac:dyDescent="0.2">
      <c r="A499" s="75" t="s">
        <v>199</v>
      </c>
      <c r="B499" s="73" t="s">
        <v>186</v>
      </c>
      <c r="C499" s="73" t="s">
        <v>188</v>
      </c>
      <c r="D499" s="73" t="s">
        <v>214</v>
      </c>
      <c r="E499" s="78">
        <v>310</v>
      </c>
      <c r="F499" s="131">
        <f>F500</f>
        <v>4420.6000000000004</v>
      </c>
      <c r="G499" s="131">
        <f>G500</f>
        <v>4449.7</v>
      </c>
      <c r="H499" s="151"/>
      <c r="I499" s="151"/>
      <c r="J499" s="151"/>
      <c r="K499" s="151"/>
      <c r="L499" s="151"/>
      <c r="M499" s="151"/>
    </row>
    <row r="500" spans="1:13" s="79" customFormat="1" ht="15.75" customHeight="1" x14ac:dyDescent="0.2">
      <c r="A500" s="70" t="s">
        <v>200</v>
      </c>
      <c r="B500" s="73" t="s">
        <v>186</v>
      </c>
      <c r="C500" s="73" t="s">
        <v>188</v>
      </c>
      <c r="D500" s="73" t="s">
        <v>214</v>
      </c>
      <c r="E500" s="78">
        <v>313</v>
      </c>
      <c r="F500" s="139">
        <f>'ПР 8 ведом'!G114</f>
        <v>4420.6000000000004</v>
      </c>
      <c r="G500" s="139">
        <f>'ПР 8 ведом'!H114</f>
        <v>4449.7</v>
      </c>
      <c r="H500" s="151"/>
      <c r="I500" s="151"/>
      <c r="J500" s="151"/>
      <c r="K500" s="151"/>
      <c r="L500" s="151"/>
      <c r="M500" s="151"/>
    </row>
    <row r="501" spans="1:13" s="79" customFormat="1" ht="23.25" customHeight="1" x14ac:dyDescent="0.2">
      <c r="A501" s="75" t="s">
        <v>215</v>
      </c>
      <c r="B501" s="73" t="s">
        <v>186</v>
      </c>
      <c r="C501" s="73" t="s">
        <v>188</v>
      </c>
      <c r="D501" s="73" t="s">
        <v>216</v>
      </c>
      <c r="E501" s="73"/>
      <c r="F501" s="139">
        <f t="shared" ref="F501:G504" si="36">F502</f>
        <v>31.4</v>
      </c>
      <c r="G501" s="139">
        <f t="shared" si="36"/>
        <v>31.6</v>
      </c>
      <c r="H501" s="151"/>
      <c r="I501" s="151"/>
      <c r="J501" s="151"/>
      <c r="K501" s="151"/>
      <c r="L501" s="151"/>
      <c r="M501" s="151"/>
    </row>
    <row r="502" spans="1:13" s="52" customFormat="1" ht="23.25" customHeight="1" x14ac:dyDescent="0.2">
      <c r="A502" s="75" t="s">
        <v>71</v>
      </c>
      <c r="B502" s="73" t="s">
        <v>186</v>
      </c>
      <c r="C502" s="73" t="s">
        <v>188</v>
      </c>
      <c r="D502" s="73" t="s">
        <v>217</v>
      </c>
      <c r="E502" s="73"/>
      <c r="F502" s="139">
        <f t="shared" si="36"/>
        <v>31.4</v>
      </c>
      <c r="G502" s="139">
        <f t="shared" si="36"/>
        <v>31.6</v>
      </c>
      <c r="H502" s="90"/>
      <c r="I502" s="90"/>
      <c r="J502" s="90"/>
      <c r="K502" s="90"/>
      <c r="L502" s="90"/>
      <c r="M502" s="90"/>
    </row>
    <row r="503" spans="1:13" s="52" customFormat="1" x14ac:dyDescent="0.2">
      <c r="A503" s="75" t="s">
        <v>197</v>
      </c>
      <c r="B503" s="73" t="s">
        <v>186</v>
      </c>
      <c r="C503" s="73" t="s">
        <v>188</v>
      </c>
      <c r="D503" s="73" t="s">
        <v>217</v>
      </c>
      <c r="E503" s="73" t="s">
        <v>198</v>
      </c>
      <c r="F503" s="139">
        <f t="shared" si="36"/>
        <v>31.4</v>
      </c>
      <c r="G503" s="139">
        <f t="shared" si="36"/>
        <v>31.6</v>
      </c>
      <c r="H503" s="90"/>
      <c r="I503" s="90"/>
      <c r="J503" s="90"/>
      <c r="K503" s="90"/>
      <c r="L503" s="90"/>
      <c r="M503" s="90"/>
    </row>
    <row r="504" spans="1:13" s="52" customFormat="1" x14ac:dyDescent="0.2">
      <c r="A504" s="75" t="s">
        <v>199</v>
      </c>
      <c r="B504" s="73" t="s">
        <v>186</v>
      </c>
      <c r="C504" s="73" t="s">
        <v>188</v>
      </c>
      <c r="D504" s="73" t="s">
        <v>217</v>
      </c>
      <c r="E504" s="78">
        <v>310</v>
      </c>
      <c r="F504" s="139">
        <f t="shared" si="36"/>
        <v>31.4</v>
      </c>
      <c r="G504" s="139">
        <f t="shared" si="36"/>
        <v>31.6</v>
      </c>
      <c r="H504" s="90"/>
      <c r="I504" s="90"/>
      <c r="J504" s="90"/>
      <c r="K504" s="90"/>
      <c r="L504" s="90"/>
      <c r="M504" s="90"/>
    </row>
    <row r="505" spans="1:13" s="52" customFormat="1" ht="22.5" x14ac:dyDescent="0.2">
      <c r="A505" s="70" t="s">
        <v>200</v>
      </c>
      <c r="B505" s="73" t="s">
        <v>186</v>
      </c>
      <c r="C505" s="73" t="s">
        <v>188</v>
      </c>
      <c r="D505" s="73" t="s">
        <v>217</v>
      </c>
      <c r="E505" s="78">
        <v>313</v>
      </c>
      <c r="F505" s="131">
        <f>'ПР 8 ведом'!G119</f>
        <v>31.4</v>
      </c>
      <c r="G505" s="131">
        <f>'ПР 8 ведом'!H119</f>
        <v>31.6</v>
      </c>
      <c r="H505" s="90"/>
      <c r="I505" s="90"/>
      <c r="J505" s="90"/>
      <c r="K505" s="90"/>
      <c r="L505" s="90"/>
      <c r="M505" s="90"/>
    </row>
    <row r="506" spans="1:13" s="52" customFormat="1" ht="22.5" x14ac:dyDescent="0.2">
      <c r="A506" s="66" t="s">
        <v>218</v>
      </c>
      <c r="B506" s="73" t="s">
        <v>186</v>
      </c>
      <c r="C506" s="73" t="s">
        <v>188</v>
      </c>
      <c r="D506" s="73" t="s">
        <v>219</v>
      </c>
      <c r="E506" s="78"/>
      <c r="F506" s="139">
        <f>F507</f>
        <v>3691.2</v>
      </c>
      <c r="G506" s="139">
        <f>G507</f>
        <v>3715</v>
      </c>
      <c r="H506" s="90"/>
      <c r="I506" s="90"/>
      <c r="J506" s="90"/>
      <c r="K506" s="90"/>
      <c r="L506" s="90"/>
      <c r="M506" s="90"/>
    </row>
    <row r="507" spans="1:13" s="52" customFormat="1" ht="22.5" x14ac:dyDescent="0.2">
      <c r="A507" s="82" t="s">
        <v>70</v>
      </c>
      <c r="B507" s="73" t="s">
        <v>186</v>
      </c>
      <c r="C507" s="73" t="s">
        <v>188</v>
      </c>
      <c r="D507" s="68" t="s">
        <v>220</v>
      </c>
      <c r="E507" s="68"/>
      <c r="F507" s="139">
        <f>F508+F511</f>
        <v>3691.2</v>
      </c>
      <c r="G507" s="139">
        <f>G508+G511</f>
        <v>3715</v>
      </c>
      <c r="H507" s="90"/>
      <c r="I507" s="90"/>
      <c r="J507" s="90"/>
      <c r="K507" s="90"/>
      <c r="L507" s="90"/>
      <c r="M507" s="90"/>
    </row>
    <row r="508" spans="1:13" s="52" customFormat="1" ht="22.5" x14ac:dyDescent="0.2">
      <c r="A508" s="83" t="s">
        <v>650</v>
      </c>
      <c r="B508" s="68" t="s">
        <v>186</v>
      </c>
      <c r="C508" s="67" t="s">
        <v>188</v>
      </c>
      <c r="D508" s="68" t="s">
        <v>220</v>
      </c>
      <c r="E508" s="68" t="s">
        <v>150</v>
      </c>
      <c r="F508" s="131">
        <f>F509</f>
        <v>83</v>
      </c>
      <c r="G508" s="131">
        <f>G509</f>
        <v>83</v>
      </c>
      <c r="H508" s="90"/>
      <c r="I508" s="90"/>
      <c r="J508" s="90"/>
      <c r="K508" s="90"/>
      <c r="L508" s="90"/>
      <c r="M508" s="90"/>
    </row>
    <row r="509" spans="1:13" s="52" customFormat="1" ht="20.25" customHeight="1" x14ac:dyDescent="0.2">
      <c r="A509" s="83" t="s">
        <v>151</v>
      </c>
      <c r="B509" s="68" t="s">
        <v>186</v>
      </c>
      <c r="C509" s="67" t="s">
        <v>188</v>
      </c>
      <c r="D509" s="68" t="s">
        <v>220</v>
      </c>
      <c r="E509" s="68" t="s">
        <v>152</v>
      </c>
      <c r="F509" s="131">
        <f>F510</f>
        <v>83</v>
      </c>
      <c r="G509" s="131">
        <f>G510</f>
        <v>83</v>
      </c>
      <c r="H509" s="90"/>
      <c r="I509" s="90"/>
      <c r="J509" s="90"/>
      <c r="K509" s="90"/>
      <c r="L509" s="90"/>
      <c r="M509" s="90"/>
    </row>
    <row r="510" spans="1:13" s="79" customFormat="1" ht="20.25" customHeight="1" x14ac:dyDescent="0.2">
      <c r="A510" s="115" t="s">
        <v>153</v>
      </c>
      <c r="B510" s="68" t="s">
        <v>186</v>
      </c>
      <c r="C510" s="67" t="s">
        <v>188</v>
      </c>
      <c r="D510" s="68" t="s">
        <v>220</v>
      </c>
      <c r="E510" s="68" t="s">
        <v>154</v>
      </c>
      <c r="F510" s="131">
        <f>'ПР 8 ведом'!G124</f>
        <v>83</v>
      </c>
      <c r="G510" s="131">
        <f>'ПР 8 ведом'!H124</f>
        <v>83</v>
      </c>
      <c r="H510" s="151"/>
      <c r="I510" s="151"/>
      <c r="J510" s="151"/>
      <c r="K510" s="151"/>
      <c r="L510" s="151"/>
      <c r="M510" s="151"/>
    </row>
    <row r="511" spans="1:13" s="79" customFormat="1" ht="20.25" customHeight="1" x14ac:dyDescent="0.2">
      <c r="A511" s="75" t="s">
        <v>197</v>
      </c>
      <c r="B511" s="73" t="s">
        <v>186</v>
      </c>
      <c r="C511" s="73" t="s">
        <v>188</v>
      </c>
      <c r="D511" s="68" t="s">
        <v>220</v>
      </c>
      <c r="E511" s="73" t="s">
        <v>198</v>
      </c>
      <c r="F511" s="139">
        <f>F512</f>
        <v>3608.2</v>
      </c>
      <c r="G511" s="139">
        <f>G512</f>
        <v>3632</v>
      </c>
      <c r="H511" s="151"/>
      <c r="I511" s="151"/>
      <c r="J511" s="151"/>
      <c r="K511" s="151"/>
      <c r="L511" s="151"/>
      <c r="M511" s="151"/>
    </row>
    <row r="512" spans="1:13" s="79" customFormat="1" ht="15" customHeight="1" x14ac:dyDescent="0.2">
      <c r="A512" s="75" t="s">
        <v>199</v>
      </c>
      <c r="B512" s="73" t="s">
        <v>186</v>
      </c>
      <c r="C512" s="73" t="s">
        <v>188</v>
      </c>
      <c r="D512" s="68" t="s">
        <v>220</v>
      </c>
      <c r="E512" s="78">
        <v>310</v>
      </c>
      <c r="F512" s="139">
        <f>F513</f>
        <v>3608.2</v>
      </c>
      <c r="G512" s="139">
        <f>G513</f>
        <v>3632</v>
      </c>
      <c r="H512" s="151"/>
      <c r="I512" s="151"/>
      <c r="J512" s="151"/>
      <c r="K512" s="151"/>
      <c r="L512" s="151"/>
      <c r="M512" s="151"/>
    </row>
    <row r="513" spans="1:13" s="79" customFormat="1" ht="19.5" customHeight="1" x14ac:dyDescent="0.2">
      <c r="A513" s="70" t="s">
        <v>200</v>
      </c>
      <c r="B513" s="73" t="s">
        <v>186</v>
      </c>
      <c r="C513" s="73" t="s">
        <v>188</v>
      </c>
      <c r="D513" s="68" t="s">
        <v>220</v>
      </c>
      <c r="E513" s="78">
        <v>313</v>
      </c>
      <c r="F513" s="139">
        <f>'ПР 8 ведом'!G127</f>
        <v>3608.2</v>
      </c>
      <c r="G513" s="139">
        <f>'ПР 8 ведом'!H127</f>
        <v>3632</v>
      </c>
      <c r="H513" s="151"/>
      <c r="I513" s="151"/>
      <c r="J513" s="151"/>
      <c r="K513" s="151"/>
      <c r="L513" s="151"/>
      <c r="M513" s="151"/>
    </row>
    <row r="514" spans="1:13" s="79" customFormat="1" ht="19.5" customHeight="1" x14ac:dyDescent="0.2">
      <c r="A514" s="100" t="s">
        <v>226</v>
      </c>
      <c r="B514" s="102">
        <v>10</v>
      </c>
      <c r="C514" s="104" t="s">
        <v>188</v>
      </c>
      <c r="D514" s="102" t="s">
        <v>227</v>
      </c>
      <c r="E514" s="102"/>
      <c r="F514" s="139">
        <f>F515</f>
        <v>303.28000000000003</v>
      </c>
      <c r="G514" s="139">
        <f>G515</f>
        <v>297.16000000000003</v>
      </c>
      <c r="H514" s="151"/>
      <c r="I514" s="151"/>
      <c r="J514" s="151"/>
      <c r="K514" s="151"/>
      <c r="L514" s="151"/>
      <c r="M514" s="151"/>
    </row>
    <row r="515" spans="1:13" s="52" customFormat="1" ht="32.25" customHeight="1" x14ac:dyDescent="0.2">
      <c r="A515" s="83" t="s">
        <v>237</v>
      </c>
      <c r="B515" s="84">
        <v>10</v>
      </c>
      <c r="C515" s="87" t="s">
        <v>188</v>
      </c>
      <c r="D515" s="84" t="s">
        <v>238</v>
      </c>
      <c r="E515" s="84"/>
      <c r="F515" s="139">
        <f>F516+F519</f>
        <v>303.28000000000003</v>
      </c>
      <c r="G515" s="139">
        <f>G516+G519</f>
        <v>297.16000000000003</v>
      </c>
      <c r="H515" s="148"/>
      <c r="I515" s="90"/>
      <c r="J515" s="90"/>
      <c r="K515" s="90"/>
      <c r="L515" s="90"/>
      <c r="M515" s="90"/>
    </row>
    <row r="516" spans="1:13" s="79" customFormat="1" ht="19.5" customHeight="1" x14ac:dyDescent="0.2">
      <c r="A516" s="83" t="s">
        <v>650</v>
      </c>
      <c r="B516" s="84">
        <v>10</v>
      </c>
      <c r="C516" s="87" t="s">
        <v>188</v>
      </c>
      <c r="D516" s="84" t="s">
        <v>238</v>
      </c>
      <c r="E516" s="84" t="s">
        <v>150</v>
      </c>
      <c r="F516" s="139">
        <f>F517</f>
        <v>269.38400000000001</v>
      </c>
      <c r="G516" s="139">
        <f>G517</f>
        <v>263.94800000000004</v>
      </c>
      <c r="H516" s="151"/>
      <c r="I516" s="151"/>
      <c r="J516" s="151"/>
      <c r="K516" s="151"/>
      <c r="L516" s="151"/>
      <c r="M516" s="151"/>
    </row>
    <row r="517" spans="1:13" s="79" customFormat="1" ht="19.5" customHeight="1" x14ac:dyDescent="0.2">
      <c r="A517" s="83" t="s">
        <v>151</v>
      </c>
      <c r="B517" s="84">
        <v>10</v>
      </c>
      <c r="C517" s="87" t="s">
        <v>188</v>
      </c>
      <c r="D517" s="84" t="s">
        <v>238</v>
      </c>
      <c r="E517" s="84" t="s">
        <v>152</v>
      </c>
      <c r="F517" s="139">
        <f>F518</f>
        <v>269.38400000000001</v>
      </c>
      <c r="G517" s="139">
        <f>G518</f>
        <v>263.94800000000004</v>
      </c>
      <c r="H517" s="151"/>
      <c r="I517" s="151"/>
      <c r="J517" s="151"/>
      <c r="K517" s="151"/>
      <c r="L517" s="151"/>
      <c r="M517" s="151"/>
    </row>
    <row r="518" spans="1:13" s="52" customFormat="1" ht="19.5" customHeight="1" x14ac:dyDescent="0.2">
      <c r="A518" s="115" t="s">
        <v>153</v>
      </c>
      <c r="B518" s="84">
        <v>10</v>
      </c>
      <c r="C518" s="87" t="s">
        <v>188</v>
      </c>
      <c r="D518" s="84" t="s">
        <v>238</v>
      </c>
      <c r="E518" s="84" t="s">
        <v>154</v>
      </c>
      <c r="F518" s="139">
        <f>'ПР 8 ведом'!G593</f>
        <v>269.38400000000001</v>
      </c>
      <c r="G518" s="139">
        <f>'ПР 8 ведом'!H593</f>
        <v>263.94800000000004</v>
      </c>
      <c r="H518" s="90"/>
      <c r="I518" s="90"/>
      <c r="J518" s="90"/>
      <c r="K518" s="90"/>
      <c r="L518" s="90"/>
      <c r="M518" s="90"/>
    </row>
    <row r="519" spans="1:13" s="52" customFormat="1" ht="19.5" customHeight="1" x14ac:dyDescent="0.2">
      <c r="A519" s="75" t="s">
        <v>197</v>
      </c>
      <c r="B519" s="84">
        <v>10</v>
      </c>
      <c r="C519" s="87" t="s">
        <v>188</v>
      </c>
      <c r="D519" s="84" t="s">
        <v>238</v>
      </c>
      <c r="E519" s="84">
        <v>300</v>
      </c>
      <c r="F519" s="139">
        <f>F520+F522</f>
        <v>33.896000000000001</v>
      </c>
      <c r="G519" s="139">
        <f>G520+G522</f>
        <v>33.212000000000003</v>
      </c>
      <c r="H519" s="90"/>
      <c r="I519" s="90"/>
      <c r="J519" s="90"/>
      <c r="K519" s="90"/>
      <c r="L519" s="90"/>
      <c r="M519" s="90"/>
    </row>
    <row r="520" spans="1:13" s="52" customFormat="1" ht="18.75" customHeight="1" x14ac:dyDescent="0.2">
      <c r="A520" s="83" t="s">
        <v>572</v>
      </c>
      <c r="B520" s="84">
        <v>10</v>
      </c>
      <c r="C520" s="87" t="s">
        <v>188</v>
      </c>
      <c r="D520" s="84" t="s">
        <v>238</v>
      </c>
      <c r="E520" s="84">
        <v>320</v>
      </c>
      <c r="F520" s="131">
        <f>F521</f>
        <v>26.76</v>
      </c>
      <c r="G520" s="131">
        <f>G521</f>
        <v>26.220000000000002</v>
      </c>
      <c r="H520" s="90"/>
      <c r="I520" s="90"/>
      <c r="J520" s="90"/>
      <c r="K520" s="90"/>
      <c r="L520" s="90"/>
      <c r="M520" s="90"/>
    </row>
    <row r="521" spans="1:13" s="79" customFormat="1" ht="18.75" customHeight="1" x14ac:dyDescent="0.2">
      <c r="A521" s="115" t="s">
        <v>651</v>
      </c>
      <c r="B521" s="84">
        <v>10</v>
      </c>
      <c r="C521" s="87" t="s">
        <v>188</v>
      </c>
      <c r="D521" s="84" t="s">
        <v>238</v>
      </c>
      <c r="E521" s="84">
        <v>321</v>
      </c>
      <c r="F521" s="131">
        <f>'ПР 8 ведом'!G596</f>
        <v>26.76</v>
      </c>
      <c r="G521" s="131">
        <f>'ПР 8 ведом'!H596</f>
        <v>26.220000000000002</v>
      </c>
      <c r="H521" s="151"/>
      <c r="I521" s="151"/>
      <c r="J521" s="151"/>
      <c r="K521" s="151"/>
      <c r="L521" s="151"/>
      <c r="M521" s="151"/>
    </row>
    <row r="522" spans="1:13" s="79" customFormat="1" ht="18.75" customHeight="1" x14ac:dyDescent="0.2">
      <c r="A522" s="115" t="s">
        <v>573</v>
      </c>
      <c r="B522" s="84">
        <v>10</v>
      </c>
      <c r="C522" s="87" t="s">
        <v>188</v>
      </c>
      <c r="D522" s="84" t="s">
        <v>238</v>
      </c>
      <c r="E522" s="84">
        <v>340</v>
      </c>
      <c r="F522" s="131">
        <f>'ПР 8 ведом'!G597</f>
        <v>7.1360000000000001</v>
      </c>
      <c r="G522" s="131">
        <f>'ПР 8 ведом'!H597</f>
        <v>6.9920000000000009</v>
      </c>
      <c r="H522" s="151"/>
      <c r="I522" s="151"/>
      <c r="J522" s="151"/>
      <c r="K522" s="151"/>
      <c r="L522" s="151"/>
      <c r="M522" s="151"/>
    </row>
    <row r="523" spans="1:13" s="79" customFormat="1" ht="21.75" customHeight="1" x14ac:dyDescent="0.2">
      <c r="A523" s="117" t="s">
        <v>465</v>
      </c>
      <c r="B523" s="102">
        <v>10</v>
      </c>
      <c r="C523" s="104" t="s">
        <v>188</v>
      </c>
      <c r="D523" s="102" t="s">
        <v>466</v>
      </c>
      <c r="E523" s="102"/>
      <c r="F523" s="143">
        <f t="shared" ref="F523:G526" si="37">F524</f>
        <v>892</v>
      </c>
      <c r="G523" s="143">
        <f t="shared" si="37"/>
        <v>874.00000000000011</v>
      </c>
      <c r="H523" s="151"/>
      <c r="I523" s="151"/>
      <c r="J523" s="151"/>
      <c r="K523" s="151"/>
      <c r="L523" s="151"/>
      <c r="M523" s="151"/>
    </row>
    <row r="524" spans="1:13" s="81" customFormat="1" ht="37.5" customHeight="1" x14ac:dyDescent="0.2">
      <c r="A524" s="117" t="s">
        <v>467</v>
      </c>
      <c r="B524" s="102">
        <v>10</v>
      </c>
      <c r="C524" s="104" t="s">
        <v>188</v>
      </c>
      <c r="D524" s="102" t="s">
        <v>468</v>
      </c>
      <c r="E524" s="102"/>
      <c r="F524" s="139">
        <f t="shared" si="37"/>
        <v>892</v>
      </c>
      <c r="G524" s="139">
        <f t="shared" si="37"/>
        <v>874.00000000000011</v>
      </c>
      <c r="H524" s="152"/>
      <c r="I524" s="152"/>
      <c r="J524" s="152"/>
      <c r="K524" s="152"/>
      <c r="L524" s="152"/>
      <c r="M524" s="152"/>
    </row>
    <row r="525" spans="1:13" s="81" customFormat="1" ht="33.75" customHeight="1" x14ac:dyDescent="0.2">
      <c r="A525" s="75" t="s">
        <v>197</v>
      </c>
      <c r="B525" s="84">
        <v>10</v>
      </c>
      <c r="C525" s="87" t="s">
        <v>188</v>
      </c>
      <c r="D525" s="84" t="s">
        <v>468</v>
      </c>
      <c r="E525" s="84">
        <v>300</v>
      </c>
      <c r="F525" s="139">
        <f t="shared" si="37"/>
        <v>892</v>
      </c>
      <c r="G525" s="139">
        <f t="shared" si="37"/>
        <v>874.00000000000011</v>
      </c>
      <c r="H525" s="152"/>
      <c r="I525" s="152"/>
      <c r="J525" s="152"/>
      <c r="K525" s="152"/>
      <c r="L525" s="152"/>
      <c r="M525" s="152"/>
    </row>
    <row r="526" spans="1:13" s="79" customFormat="1" ht="15" customHeight="1" x14ac:dyDescent="0.2">
      <c r="A526" s="83" t="s">
        <v>572</v>
      </c>
      <c r="B526" s="84">
        <v>10</v>
      </c>
      <c r="C526" s="87" t="s">
        <v>188</v>
      </c>
      <c r="D526" s="84" t="s">
        <v>468</v>
      </c>
      <c r="E526" s="84">
        <v>320</v>
      </c>
      <c r="F526" s="139">
        <f t="shared" si="37"/>
        <v>892</v>
      </c>
      <c r="G526" s="139">
        <f t="shared" si="37"/>
        <v>874.00000000000011</v>
      </c>
      <c r="H526" s="151"/>
      <c r="I526" s="151"/>
      <c r="J526" s="151"/>
      <c r="K526" s="151"/>
      <c r="L526" s="151"/>
      <c r="M526" s="151"/>
    </row>
    <row r="527" spans="1:13" s="79" customFormat="1" ht="20.25" customHeight="1" x14ac:dyDescent="0.2">
      <c r="A527" s="115" t="s">
        <v>469</v>
      </c>
      <c r="B527" s="84">
        <v>10</v>
      </c>
      <c r="C527" s="87" t="s">
        <v>188</v>
      </c>
      <c r="D527" s="84" t="s">
        <v>468</v>
      </c>
      <c r="E527" s="84">
        <v>322</v>
      </c>
      <c r="F527" s="139">
        <f>'ПР 8 ведом'!G602</f>
        <v>892</v>
      </c>
      <c r="G527" s="139">
        <f>'ПР 8 ведом'!H602</f>
        <v>874.00000000000011</v>
      </c>
      <c r="H527" s="151"/>
      <c r="I527" s="151"/>
      <c r="J527" s="151"/>
      <c r="K527" s="151"/>
      <c r="L527" s="151"/>
      <c r="M527" s="151"/>
    </row>
    <row r="528" spans="1:13" s="79" customFormat="1" ht="21" customHeight="1" x14ac:dyDescent="0.2">
      <c r="A528" s="61" t="s">
        <v>275</v>
      </c>
      <c r="B528" s="96">
        <v>10</v>
      </c>
      <c r="C528" s="94" t="s">
        <v>160</v>
      </c>
      <c r="D528" s="96"/>
      <c r="E528" s="96"/>
      <c r="F528" s="219">
        <f>F529+F536</f>
        <v>32565.4</v>
      </c>
      <c r="G528" s="219">
        <f>G529+G536</f>
        <v>32774.800000000003</v>
      </c>
      <c r="H528" s="151"/>
      <c r="I528" s="151"/>
      <c r="J528" s="151"/>
      <c r="K528" s="151"/>
      <c r="L528" s="151"/>
      <c r="M528" s="151"/>
    </row>
    <row r="529" spans="1:13" s="79" customFormat="1" ht="21" customHeight="1" x14ac:dyDescent="0.2">
      <c r="A529" s="66" t="s">
        <v>649</v>
      </c>
      <c r="B529" s="68">
        <v>10</v>
      </c>
      <c r="C529" s="67" t="s">
        <v>160</v>
      </c>
      <c r="D529" s="68" t="s">
        <v>245</v>
      </c>
      <c r="E529" s="68"/>
      <c r="F529" s="140">
        <f t="shared" ref="F529:G534" si="38">F530</f>
        <v>3219.9</v>
      </c>
      <c r="G529" s="140">
        <f t="shared" si="38"/>
        <v>3240.6</v>
      </c>
      <c r="H529" s="151"/>
      <c r="I529" s="151"/>
      <c r="J529" s="151"/>
      <c r="K529" s="151"/>
      <c r="L529" s="151"/>
      <c r="M529" s="151"/>
    </row>
    <row r="530" spans="1:13" s="79" customFormat="1" ht="21" customHeight="1" x14ac:dyDescent="0.2">
      <c r="A530" s="66" t="s">
        <v>246</v>
      </c>
      <c r="B530" s="68">
        <v>10</v>
      </c>
      <c r="C530" s="67" t="s">
        <v>277</v>
      </c>
      <c r="D530" s="84" t="s">
        <v>247</v>
      </c>
      <c r="E530" s="68"/>
      <c r="F530" s="140">
        <f t="shared" ref="F530:G532" si="39">F531</f>
        <v>3219.9</v>
      </c>
      <c r="G530" s="140">
        <f t="shared" si="39"/>
        <v>3240.6</v>
      </c>
      <c r="H530" s="151"/>
      <c r="I530" s="151"/>
      <c r="J530" s="151"/>
      <c r="K530" s="151"/>
      <c r="L530" s="151"/>
      <c r="M530" s="151"/>
    </row>
    <row r="531" spans="1:13" s="79" customFormat="1" ht="21" customHeight="1" x14ac:dyDescent="0.2">
      <c r="A531" s="66" t="s">
        <v>278</v>
      </c>
      <c r="B531" s="68" t="s">
        <v>186</v>
      </c>
      <c r="C531" s="67" t="s">
        <v>160</v>
      </c>
      <c r="D531" s="68" t="s">
        <v>279</v>
      </c>
      <c r="E531" s="68" t="s">
        <v>184</v>
      </c>
      <c r="F531" s="131">
        <f t="shared" si="39"/>
        <v>3219.9</v>
      </c>
      <c r="G531" s="131">
        <f t="shared" si="39"/>
        <v>3240.6</v>
      </c>
      <c r="H531" s="151"/>
      <c r="I531" s="151"/>
      <c r="J531" s="151"/>
      <c r="K531" s="151"/>
      <c r="L531" s="151"/>
      <c r="M531" s="151"/>
    </row>
    <row r="532" spans="1:13" s="79" customFormat="1" ht="21" customHeight="1" x14ac:dyDescent="0.2">
      <c r="A532" s="66" t="s">
        <v>280</v>
      </c>
      <c r="B532" s="68" t="s">
        <v>186</v>
      </c>
      <c r="C532" s="67" t="s">
        <v>160</v>
      </c>
      <c r="D532" s="68" t="s">
        <v>281</v>
      </c>
      <c r="E532" s="68"/>
      <c r="F532" s="131">
        <f t="shared" si="39"/>
        <v>3219.9</v>
      </c>
      <c r="G532" s="131">
        <f t="shared" si="39"/>
        <v>3240.6</v>
      </c>
      <c r="H532" s="151"/>
      <c r="I532" s="151"/>
      <c r="J532" s="151"/>
      <c r="K532" s="151"/>
      <c r="L532" s="151"/>
      <c r="M532" s="151"/>
    </row>
    <row r="533" spans="1:13" s="79" customFormat="1" ht="21" customHeight="1" x14ac:dyDescent="0.2">
      <c r="A533" s="75" t="s">
        <v>197</v>
      </c>
      <c r="B533" s="68" t="s">
        <v>186</v>
      </c>
      <c r="C533" s="67" t="s">
        <v>160</v>
      </c>
      <c r="D533" s="68" t="s">
        <v>281</v>
      </c>
      <c r="E533" s="73" t="s">
        <v>198</v>
      </c>
      <c r="F533" s="139">
        <f t="shared" si="38"/>
        <v>3219.9</v>
      </c>
      <c r="G533" s="139">
        <f t="shared" si="38"/>
        <v>3240.6</v>
      </c>
      <c r="H533" s="151"/>
      <c r="I533" s="151"/>
      <c r="J533" s="151"/>
      <c r="K533" s="151"/>
      <c r="L533" s="151"/>
      <c r="M533" s="151"/>
    </row>
    <row r="534" spans="1:13" s="79" customFormat="1" ht="11.25" x14ac:dyDescent="0.2">
      <c r="A534" s="75" t="s">
        <v>199</v>
      </c>
      <c r="B534" s="68" t="s">
        <v>186</v>
      </c>
      <c r="C534" s="67" t="s">
        <v>160</v>
      </c>
      <c r="D534" s="68" t="s">
        <v>281</v>
      </c>
      <c r="E534" s="78">
        <v>310</v>
      </c>
      <c r="F534" s="139">
        <f t="shared" si="38"/>
        <v>3219.9</v>
      </c>
      <c r="G534" s="139">
        <f t="shared" si="38"/>
        <v>3240.6</v>
      </c>
      <c r="H534" s="151"/>
      <c r="I534" s="151"/>
      <c r="J534" s="151"/>
      <c r="K534" s="151"/>
      <c r="L534" s="151"/>
      <c r="M534" s="151"/>
    </row>
    <row r="535" spans="1:13" s="79" customFormat="1" ht="22.5" x14ac:dyDescent="0.2">
      <c r="A535" s="70" t="s">
        <v>200</v>
      </c>
      <c r="B535" s="68" t="s">
        <v>186</v>
      </c>
      <c r="C535" s="67" t="s">
        <v>160</v>
      </c>
      <c r="D535" s="68" t="s">
        <v>281</v>
      </c>
      <c r="E535" s="78">
        <v>313</v>
      </c>
      <c r="F535" s="139">
        <f>'ПР 8 ведом'!G300</f>
        <v>3219.9</v>
      </c>
      <c r="G535" s="139">
        <f>'ПР 8 ведом'!H300</f>
        <v>3240.6</v>
      </c>
      <c r="H535" s="151"/>
      <c r="I535" s="151"/>
      <c r="J535" s="151"/>
      <c r="K535" s="151"/>
      <c r="L535" s="151"/>
      <c r="M535" s="151"/>
    </row>
    <row r="536" spans="1:13" s="79" customFormat="1" ht="56.25" x14ac:dyDescent="0.2">
      <c r="A536" s="66" t="s">
        <v>201</v>
      </c>
      <c r="B536" s="73" t="s">
        <v>186</v>
      </c>
      <c r="C536" s="73" t="s">
        <v>160</v>
      </c>
      <c r="D536" s="73" t="s">
        <v>202</v>
      </c>
      <c r="E536" s="78"/>
      <c r="F536" s="139">
        <f t="shared" ref="F536:G539" si="40">F537</f>
        <v>29345.5</v>
      </c>
      <c r="G536" s="139">
        <f t="shared" si="40"/>
        <v>29534.2</v>
      </c>
      <c r="H536" s="151"/>
      <c r="I536" s="151"/>
      <c r="J536" s="151"/>
      <c r="K536" s="151"/>
      <c r="L536" s="151"/>
      <c r="M536" s="151"/>
    </row>
    <row r="537" spans="1:13" s="79" customFormat="1" ht="56.25" x14ac:dyDescent="0.2">
      <c r="A537" s="69" t="s">
        <v>85</v>
      </c>
      <c r="B537" s="73" t="s">
        <v>186</v>
      </c>
      <c r="C537" s="73" t="s">
        <v>160</v>
      </c>
      <c r="D537" s="73" t="s">
        <v>203</v>
      </c>
      <c r="E537" s="68"/>
      <c r="F537" s="139">
        <f t="shared" si="40"/>
        <v>29345.5</v>
      </c>
      <c r="G537" s="139">
        <f t="shared" si="40"/>
        <v>29534.2</v>
      </c>
      <c r="H537" s="151"/>
      <c r="I537" s="151"/>
      <c r="J537" s="151"/>
      <c r="K537" s="151"/>
      <c r="L537" s="151"/>
      <c r="M537" s="151"/>
    </row>
    <row r="538" spans="1:13" s="79" customFormat="1" ht="11.25" x14ac:dyDescent="0.2">
      <c r="A538" s="75" t="s">
        <v>197</v>
      </c>
      <c r="B538" s="73" t="s">
        <v>186</v>
      </c>
      <c r="C538" s="73" t="s">
        <v>160</v>
      </c>
      <c r="D538" s="73" t="s">
        <v>203</v>
      </c>
      <c r="E538" s="73" t="s">
        <v>198</v>
      </c>
      <c r="F538" s="139">
        <f t="shared" si="40"/>
        <v>29345.5</v>
      </c>
      <c r="G538" s="139">
        <f t="shared" si="40"/>
        <v>29534.2</v>
      </c>
      <c r="H538" s="151"/>
      <c r="I538" s="151"/>
      <c r="J538" s="151"/>
      <c r="K538" s="151"/>
      <c r="L538" s="151"/>
      <c r="M538" s="151"/>
    </row>
    <row r="539" spans="1:13" s="79" customFormat="1" ht="11.25" x14ac:dyDescent="0.2">
      <c r="A539" s="75" t="s">
        <v>199</v>
      </c>
      <c r="B539" s="73" t="s">
        <v>186</v>
      </c>
      <c r="C539" s="73" t="s">
        <v>160</v>
      </c>
      <c r="D539" s="73" t="s">
        <v>203</v>
      </c>
      <c r="E539" s="78">
        <v>310</v>
      </c>
      <c r="F539" s="139">
        <f t="shared" si="40"/>
        <v>29345.5</v>
      </c>
      <c r="G539" s="139">
        <f t="shared" si="40"/>
        <v>29534.2</v>
      </c>
      <c r="H539" s="151"/>
      <c r="I539" s="151"/>
      <c r="J539" s="151"/>
      <c r="K539" s="151"/>
      <c r="L539" s="151"/>
      <c r="M539" s="151"/>
    </row>
    <row r="540" spans="1:13" s="79" customFormat="1" ht="22.5" x14ac:dyDescent="0.2">
      <c r="A540" s="70" t="s">
        <v>200</v>
      </c>
      <c r="B540" s="73" t="s">
        <v>186</v>
      </c>
      <c r="C540" s="73" t="s">
        <v>160</v>
      </c>
      <c r="D540" s="73" t="s">
        <v>203</v>
      </c>
      <c r="E540" s="78">
        <v>313</v>
      </c>
      <c r="F540" s="139">
        <f>'ПР 8 ведом'!G133</f>
        <v>29345.5</v>
      </c>
      <c r="G540" s="139">
        <f>'ПР 8 ведом'!H133</f>
        <v>29534.2</v>
      </c>
      <c r="H540" s="151"/>
      <c r="I540" s="151"/>
      <c r="J540" s="151"/>
      <c r="K540" s="151"/>
      <c r="L540" s="151"/>
      <c r="M540" s="151"/>
    </row>
    <row r="541" spans="1:13" s="79" customFormat="1" ht="21" customHeight="1" x14ac:dyDescent="0.2">
      <c r="A541" s="61" t="s">
        <v>221</v>
      </c>
      <c r="B541" s="96" t="s">
        <v>186</v>
      </c>
      <c r="C541" s="94" t="s">
        <v>222</v>
      </c>
      <c r="D541" s="96" t="s">
        <v>183</v>
      </c>
      <c r="E541" s="96" t="s">
        <v>184</v>
      </c>
      <c r="F541" s="138">
        <f>F548+F543</f>
        <v>3119.1176</v>
      </c>
      <c r="G541" s="138">
        <f>G548+G543</f>
        <v>1589.3240000000001</v>
      </c>
      <c r="H541" s="151"/>
      <c r="I541" s="151"/>
      <c r="J541" s="151"/>
      <c r="K541" s="151"/>
      <c r="L541" s="151"/>
      <c r="M541" s="151"/>
    </row>
    <row r="542" spans="1:13" s="79" customFormat="1" ht="33.75" x14ac:dyDescent="0.2">
      <c r="A542" s="66" t="s">
        <v>191</v>
      </c>
      <c r="B542" s="68" t="s">
        <v>186</v>
      </c>
      <c r="C542" s="67" t="s">
        <v>222</v>
      </c>
      <c r="D542" s="68" t="s">
        <v>192</v>
      </c>
      <c r="E542" s="96"/>
      <c r="F542" s="131">
        <f t="shared" ref="F542:G546" si="41">F543</f>
        <v>497.6</v>
      </c>
      <c r="G542" s="131">
        <f t="shared" si="41"/>
        <v>500.8</v>
      </c>
      <c r="H542" s="151"/>
      <c r="I542" s="151"/>
      <c r="J542" s="151"/>
      <c r="K542" s="151"/>
      <c r="L542" s="151"/>
      <c r="M542" s="151"/>
    </row>
    <row r="543" spans="1:13" s="52" customFormat="1" ht="33.75" x14ac:dyDescent="0.2">
      <c r="A543" s="66" t="s">
        <v>223</v>
      </c>
      <c r="B543" s="68" t="s">
        <v>186</v>
      </c>
      <c r="C543" s="67" t="s">
        <v>222</v>
      </c>
      <c r="D543" s="68" t="s">
        <v>224</v>
      </c>
      <c r="E543" s="68" t="s">
        <v>184</v>
      </c>
      <c r="F543" s="131">
        <f t="shared" si="41"/>
        <v>497.6</v>
      </c>
      <c r="G543" s="131">
        <f t="shared" si="41"/>
        <v>500.8</v>
      </c>
      <c r="H543" s="148"/>
      <c r="I543" s="90"/>
      <c r="J543" s="90"/>
      <c r="K543" s="90"/>
      <c r="L543" s="90"/>
      <c r="M543" s="90"/>
    </row>
    <row r="544" spans="1:13" s="52" customFormat="1" ht="34.5" customHeight="1" x14ac:dyDescent="0.2">
      <c r="A544" s="66" t="s">
        <v>80</v>
      </c>
      <c r="B544" s="68" t="s">
        <v>186</v>
      </c>
      <c r="C544" s="67" t="s">
        <v>222</v>
      </c>
      <c r="D544" s="68" t="s">
        <v>225</v>
      </c>
      <c r="E544" s="68" t="s">
        <v>184</v>
      </c>
      <c r="F544" s="131">
        <f t="shared" si="41"/>
        <v>497.6</v>
      </c>
      <c r="G544" s="131">
        <f t="shared" si="41"/>
        <v>500.8</v>
      </c>
      <c r="H544" s="90"/>
      <c r="I544" s="90"/>
      <c r="J544" s="90"/>
      <c r="K544" s="90"/>
      <c r="L544" s="90"/>
      <c r="M544" s="90"/>
    </row>
    <row r="545" spans="1:13" s="52" customFormat="1" ht="17.25" customHeight="1" x14ac:dyDescent="0.2">
      <c r="A545" s="66" t="s">
        <v>149</v>
      </c>
      <c r="B545" s="68" t="s">
        <v>186</v>
      </c>
      <c r="C545" s="67" t="s">
        <v>222</v>
      </c>
      <c r="D545" s="68" t="s">
        <v>225</v>
      </c>
      <c r="E545" s="68" t="s">
        <v>150</v>
      </c>
      <c r="F545" s="131">
        <f t="shared" si="41"/>
        <v>497.6</v>
      </c>
      <c r="G545" s="131">
        <f t="shared" si="41"/>
        <v>500.8</v>
      </c>
      <c r="H545" s="90"/>
      <c r="I545" s="90"/>
      <c r="J545" s="90"/>
      <c r="K545" s="90"/>
      <c r="L545" s="90"/>
      <c r="M545" s="90"/>
    </row>
    <row r="546" spans="1:13" s="52" customFormat="1" ht="43.5" customHeight="1" x14ac:dyDescent="0.2">
      <c r="A546" s="70" t="s">
        <v>151</v>
      </c>
      <c r="B546" s="68" t="s">
        <v>186</v>
      </c>
      <c r="C546" s="67" t="s">
        <v>222</v>
      </c>
      <c r="D546" s="68" t="s">
        <v>225</v>
      </c>
      <c r="E546" s="68" t="s">
        <v>152</v>
      </c>
      <c r="F546" s="131">
        <f t="shared" si="41"/>
        <v>497.6</v>
      </c>
      <c r="G546" s="131">
        <f t="shared" si="41"/>
        <v>500.8</v>
      </c>
      <c r="H546" s="90"/>
      <c r="I546" s="90"/>
      <c r="J546" s="90"/>
      <c r="K546" s="90"/>
      <c r="L546" s="90"/>
      <c r="M546" s="90"/>
    </row>
    <row r="547" spans="1:13" s="52" customFormat="1" ht="33" customHeight="1" x14ac:dyDescent="0.2">
      <c r="A547" s="70" t="s">
        <v>153</v>
      </c>
      <c r="B547" s="68" t="s">
        <v>186</v>
      </c>
      <c r="C547" s="67" t="s">
        <v>222</v>
      </c>
      <c r="D547" s="68" t="s">
        <v>225</v>
      </c>
      <c r="E547" s="68" t="s">
        <v>154</v>
      </c>
      <c r="F547" s="131">
        <f>'ПР 8 ведом'!G141</f>
        <v>497.6</v>
      </c>
      <c r="G547" s="131">
        <f>'ПР 8 ведом'!H141</f>
        <v>500.8</v>
      </c>
      <c r="H547" s="90"/>
      <c r="I547" s="90"/>
      <c r="J547" s="90"/>
      <c r="K547" s="90"/>
      <c r="L547" s="90"/>
      <c r="M547" s="90"/>
    </row>
    <row r="548" spans="1:13" s="79" customFormat="1" ht="18" customHeight="1" x14ac:dyDescent="0.2">
      <c r="A548" s="66" t="s">
        <v>226</v>
      </c>
      <c r="B548" s="68" t="s">
        <v>186</v>
      </c>
      <c r="C548" s="67" t="s">
        <v>222</v>
      </c>
      <c r="D548" s="68" t="s">
        <v>227</v>
      </c>
      <c r="E548" s="68"/>
      <c r="F548" s="131">
        <f>F549+F563</f>
        <v>2621.5176000000001</v>
      </c>
      <c r="G548" s="131">
        <f>G549+G563</f>
        <v>1088.5240000000001</v>
      </c>
      <c r="H548" s="151"/>
      <c r="I548" s="151"/>
      <c r="J548" s="151"/>
      <c r="K548" s="151"/>
      <c r="L548" s="151"/>
      <c r="M548" s="151"/>
    </row>
    <row r="549" spans="1:13" s="79" customFormat="1" ht="18" customHeight="1" x14ac:dyDescent="0.2">
      <c r="A549" s="66" t="s">
        <v>228</v>
      </c>
      <c r="B549" s="68" t="s">
        <v>186</v>
      </c>
      <c r="C549" s="67" t="s">
        <v>222</v>
      </c>
      <c r="D549" s="68" t="s">
        <v>229</v>
      </c>
      <c r="E549" s="68" t="s">
        <v>184</v>
      </c>
      <c r="F549" s="131">
        <f>F550+F555+F559</f>
        <v>2521.5176000000001</v>
      </c>
      <c r="G549" s="131">
        <f>G550+G555+G559</f>
        <v>1088.5240000000001</v>
      </c>
      <c r="H549" s="151"/>
      <c r="I549" s="151"/>
      <c r="J549" s="151"/>
      <c r="K549" s="151"/>
      <c r="L549" s="151"/>
      <c r="M549" s="151"/>
    </row>
    <row r="550" spans="1:13" s="79" customFormat="1" ht="22.5" x14ac:dyDescent="0.2">
      <c r="A550" s="82" t="s">
        <v>230</v>
      </c>
      <c r="B550" s="68">
        <v>10</v>
      </c>
      <c r="C550" s="67" t="s">
        <v>222</v>
      </c>
      <c r="D550" s="68" t="s">
        <v>231</v>
      </c>
      <c r="E550" s="68" t="s">
        <v>184</v>
      </c>
      <c r="F550" s="131">
        <f>F551</f>
        <v>2242.5</v>
      </c>
      <c r="G550" s="131">
        <f>G551</f>
        <v>1071.0440000000001</v>
      </c>
      <c r="H550" s="151"/>
      <c r="I550" s="151"/>
      <c r="J550" s="151"/>
      <c r="K550" s="151"/>
      <c r="L550" s="151"/>
      <c r="M550" s="151"/>
    </row>
    <row r="551" spans="1:13" s="52" customFormat="1" ht="45" x14ac:dyDescent="0.2">
      <c r="A551" s="66" t="s">
        <v>139</v>
      </c>
      <c r="B551" s="68">
        <v>10</v>
      </c>
      <c r="C551" s="67" t="s">
        <v>222</v>
      </c>
      <c r="D551" s="68" t="s">
        <v>231</v>
      </c>
      <c r="E551" s="68" t="s">
        <v>140</v>
      </c>
      <c r="F551" s="131">
        <f>F552</f>
        <v>2242.5</v>
      </c>
      <c r="G551" s="131">
        <f>G552</f>
        <v>1071.0440000000001</v>
      </c>
      <c r="H551" s="148"/>
      <c r="I551" s="90"/>
      <c r="J551" s="90"/>
      <c r="K551" s="90"/>
      <c r="L551" s="90"/>
      <c r="M551" s="90"/>
    </row>
    <row r="552" spans="1:13" s="52" customFormat="1" ht="32.25" customHeight="1" x14ac:dyDescent="0.2">
      <c r="A552" s="66" t="s">
        <v>168</v>
      </c>
      <c r="B552" s="68">
        <v>10</v>
      </c>
      <c r="C552" s="67" t="s">
        <v>222</v>
      </c>
      <c r="D552" s="68" t="s">
        <v>231</v>
      </c>
      <c r="E552" s="68" t="s">
        <v>232</v>
      </c>
      <c r="F552" s="131">
        <f>F553+F554</f>
        <v>2242.5</v>
      </c>
      <c r="G552" s="131">
        <f>G553+G554</f>
        <v>1071.0440000000001</v>
      </c>
      <c r="H552" s="90"/>
      <c r="I552" s="90"/>
      <c r="J552" s="90"/>
      <c r="K552" s="90"/>
      <c r="L552" s="90"/>
      <c r="M552" s="90"/>
    </row>
    <row r="553" spans="1:13" s="283" customFormat="1" ht="38.25" customHeight="1" x14ac:dyDescent="0.2">
      <c r="A553" s="69" t="s">
        <v>169</v>
      </c>
      <c r="B553" s="68">
        <v>10</v>
      </c>
      <c r="C553" s="67" t="s">
        <v>222</v>
      </c>
      <c r="D553" s="68" t="s">
        <v>231</v>
      </c>
      <c r="E553" s="68" t="s">
        <v>233</v>
      </c>
      <c r="F553" s="131">
        <f>'ПР 8 ведом'!G147</f>
        <v>1675.8</v>
      </c>
      <c r="G553" s="131">
        <f>'ПР 8 ведом'!H147</f>
        <v>730</v>
      </c>
      <c r="H553" s="282"/>
      <c r="I553" s="282"/>
      <c r="J553" s="282"/>
      <c r="K553" s="282"/>
      <c r="L553" s="282"/>
      <c r="M553" s="282"/>
    </row>
    <row r="554" spans="1:13" s="283" customFormat="1" ht="33.75" x14ac:dyDescent="0.2">
      <c r="A554" s="69" t="s">
        <v>170</v>
      </c>
      <c r="B554" s="68">
        <v>10</v>
      </c>
      <c r="C554" s="67" t="s">
        <v>222</v>
      </c>
      <c r="D554" s="68" t="s">
        <v>231</v>
      </c>
      <c r="E554" s="68">
        <v>129</v>
      </c>
      <c r="F554" s="131">
        <f>'ПР 8 ведом'!G148</f>
        <v>566.70000000000005</v>
      </c>
      <c r="G554" s="131">
        <f>'ПР 8 ведом'!H148</f>
        <v>341.04400000000004</v>
      </c>
      <c r="H554" s="282"/>
      <c r="I554" s="282"/>
      <c r="J554" s="282"/>
      <c r="K554" s="282"/>
      <c r="L554" s="282"/>
      <c r="M554" s="282"/>
    </row>
    <row r="555" spans="1:13" s="283" customFormat="1" ht="24.75" customHeight="1" x14ac:dyDescent="0.2">
      <c r="A555" s="66" t="s">
        <v>149</v>
      </c>
      <c r="B555" s="68">
        <v>10</v>
      </c>
      <c r="C555" s="67" t="s">
        <v>222</v>
      </c>
      <c r="D555" s="68" t="s">
        <v>234</v>
      </c>
      <c r="E555" s="68" t="s">
        <v>150</v>
      </c>
      <c r="F555" s="131">
        <f>F556</f>
        <v>261.17760000000004</v>
      </c>
      <c r="G555" s="131">
        <f>G556</f>
        <v>0</v>
      </c>
      <c r="H555" s="282"/>
      <c r="I555" s="282"/>
      <c r="J555" s="282"/>
      <c r="K555" s="282"/>
      <c r="L555" s="282"/>
      <c r="M555" s="282"/>
    </row>
    <row r="556" spans="1:13" s="52" customFormat="1" ht="24.75" customHeight="1" x14ac:dyDescent="0.2">
      <c r="A556" s="70" t="s">
        <v>151</v>
      </c>
      <c r="B556" s="68">
        <v>10</v>
      </c>
      <c r="C556" s="67" t="s">
        <v>222</v>
      </c>
      <c r="D556" s="68" t="s">
        <v>234</v>
      </c>
      <c r="E556" s="68" t="s">
        <v>152</v>
      </c>
      <c r="F556" s="131">
        <f>F558+F557</f>
        <v>261.17760000000004</v>
      </c>
      <c r="G556" s="131">
        <f>G558+G557</f>
        <v>0</v>
      </c>
      <c r="H556" s="90"/>
      <c r="I556" s="90"/>
      <c r="J556" s="90"/>
      <c r="K556" s="90"/>
      <c r="L556" s="90"/>
      <c r="M556" s="90"/>
    </row>
    <row r="557" spans="1:13" s="52" customFormat="1" ht="24.75" customHeight="1" x14ac:dyDescent="0.2">
      <c r="A557" s="70" t="s">
        <v>171</v>
      </c>
      <c r="B557" s="68">
        <v>10</v>
      </c>
      <c r="C557" s="67" t="s">
        <v>222</v>
      </c>
      <c r="D557" s="68" t="s">
        <v>234</v>
      </c>
      <c r="E557" s="68">
        <v>242</v>
      </c>
      <c r="F557" s="131">
        <f>'ПР 8 ведом'!G151</f>
        <v>71.36</v>
      </c>
      <c r="G557" s="131">
        <f>'ПР 8 ведом'!H151</f>
        <v>0</v>
      </c>
      <c r="H557" s="90"/>
      <c r="I557" s="90"/>
      <c r="J557" s="90"/>
      <c r="K557" s="90"/>
      <c r="L557" s="90"/>
      <c r="M557" s="90"/>
    </row>
    <row r="558" spans="1:13" s="52" customFormat="1" ht="22.5" customHeight="1" x14ac:dyDescent="0.2">
      <c r="A558" s="70" t="s">
        <v>153</v>
      </c>
      <c r="B558" s="68">
        <v>10</v>
      </c>
      <c r="C558" s="67" t="s">
        <v>222</v>
      </c>
      <c r="D558" s="68" t="s">
        <v>234</v>
      </c>
      <c r="E558" s="68" t="s">
        <v>154</v>
      </c>
      <c r="F558" s="131">
        <f>'ПР 8 ведом'!G152</f>
        <v>189.81760000000003</v>
      </c>
      <c r="G558" s="131">
        <f>'ПР 8 ведом'!H152</f>
        <v>0</v>
      </c>
      <c r="H558" s="90"/>
      <c r="I558" s="90"/>
      <c r="J558" s="90"/>
      <c r="K558" s="90"/>
      <c r="L558" s="90"/>
      <c r="M558" s="90"/>
    </row>
    <row r="559" spans="1:13" s="52" customFormat="1" ht="27.75" customHeight="1" x14ac:dyDescent="0.2">
      <c r="A559" s="66" t="s">
        <v>172</v>
      </c>
      <c r="B559" s="68">
        <v>10</v>
      </c>
      <c r="C559" s="67" t="s">
        <v>222</v>
      </c>
      <c r="D559" s="68" t="s">
        <v>234</v>
      </c>
      <c r="E559" s="68" t="s">
        <v>235</v>
      </c>
      <c r="F559" s="131">
        <f>F560</f>
        <v>17.84</v>
      </c>
      <c r="G559" s="131">
        <f>G560</f>
        <v>17.480000000000004</v>
      </c>
      <c r="H559" s="90"/>
      <c r="I559" s="90"/>
      <c r="J559" s="90"/>
      <c r="K559" s="90"/>
      <c r="L559" s="90"/>
      <c r="M559" s="90"/>
    </row>
    <row r="560" spans="1:13" s="52" customFormat="1" ht="22.5" customHeight="1" x14ac:dyDescent="0.2">
      <c r="A560" s="70" t="s">
        <v>173</v>
      </c>
      <c r="B560" s="68">
        <v>10</v>
      </c>
      <c r="C560" s="67" t="s">
        <v>222</v>
      </c>
      <c r="D560" s="68" t="s">
        <v>234</v>
      </c>
      <c r="E560" s="68" t="s">
        <v>174</v>
      </c>
      <c r="F560" s="131">
        <f>F561+F562</f>
        <v>17.84</v>
      </c>
      <c r="G560" s="131">
        <f>G561+G562</f>
        <v>17.480000000000004</v>
      </c>
      <c r="H560" s="90"/>
      <c r="I560" s="90"/>
      <c r="J560" s="90"/>
      <c r="K560" s="90"/>
      <c r="L560" s="90"/>
      <c r="M560" s="90"/>
    </row>
    <row r="561" spans="1:13" s="52" customFormat="1" x14ac:dyDescent="0.2">
      <c r="A561" s="66" t="s">
        <v>175</v>
      </c>
      <c r="B561" s="68">
        <v>10</v>
      </c>
      <c r="C561" s="67" t="s">
        <v>222</v>
      </c>
      <c r="D561" s="68" t="s">
        <v>234</v>
      </c>
      <c r="E561" s="68" t="s">
        <v>176</v>
      </c>
      <c r="F561" s="131">
        <f>'ПР 8 ведом'!G155</f>
        <v>14.272</v>
      </c>
      <c r="G561" s="131">
        <f>'ПР 8 ведом'!H155</f>
        <v>13.984000000000002</v>
      </c>
      <c r="H561" s="90"/>
      <c r="I561" s="90"/>
      <c r="J561" s="90"/>
      <c r="K561" s="90"/>
      <c r="L561" s="90"/>
      <c r="M561" s="90"/>
    </row>
    <row r="562" spans="1:13" s="52" customFormat="1" ht="20.25" customHeight="1" x14ac:dyDescent="0.2">
      <c r="A562" s="70" t="s">
        <v>564</v>
      </c>
      <c r="B562" s="68">
        <v>10</v>
      </c>
      <c r="C562" s="67" t="s">
        <v>222</v>
      </c>
      <c r="D562" s="68" t="s">
        <v>234</v>
      </c>
      <c r="E562" s="68">
        <v>853</v>
      </c>
      <c r="F562" s="131">
        <f>'ПР 8 ведом'!G156</f>
        <v>3.5680000000000001</v>
      </c>
      <c r="G562" s="131">
        <f>'ПР 8 ведом'!H156</f>
        <v>3.4960000000000004</v>
      </c>
      <c r="H562" s="90"/>
      <c r="I562" s="90"/>
      <c r="J562" s="90"/>
      <c r="K562" s="90"/>
      <c r="L562" s="90"/>
      <c r="M562" s="90"/>
    </row>
    <row r="563" spans="1:13" s="52" customFormat="1" ht="23.25" customHeight="1" x14ac:dyDescent="0.2">
      <c r="A563" s="83" t="s">
        <v>237</v>
      </c>
      <c r="B563" s="68">
        <v>10</v>
      </c>
      <c r="C563" s="67" t="s">
        <v>222</v>
      </c>
      <c r="D563" s="68" t="s">
        <v>238</v>
      </c>
      <c r="E563" s="68"/>
      <c r="F563" s="131">
        <f t="shared" ref="F563:G565" si="42">F564</f>
        <v>100</v>
      </c>
      <c r="G563" s="131">
        <f t="shared" si="42"/>
        <v>0</v>
      </c>
      <c r="H563" s="90"/>
      <c r="I563" s="90"/>
      <c r="J563" s="90"/>
      <c r="K563" s="90"/>
      <c r="L563" s="90"/>
      <c r="M563" s="90"/>
    </row>
    <row r="564" spans="1:13" s="52" customFormat="1" ht="31.5" customHeight="1" x14ac:dyDescent="0.2">
      <c r="A564" s="66" t="s">
        <v>149</v>
      </c>
      <c r="B564" s="68">
        <v>10</v>
      </c>
      <c r="C564" s="67" t="s">
        <v>222</v>
      </c>
      <c r="D564" s="68" t="s">
        <v>238</v>
      </c>
      <c r="E564" s="68" t="s">
        <v>150</v>
      </c>
      <c r="F564" s="131">
        <f t="shared" si="42"/>
        <v>100</v>
      </c>
      <c r="G564" s="131">
        <f t="shared" si="42"/>
        <v>0</v>
      </c>
      <c r="H564" s="90"/>
      <c r="I564" s="90"/>
      <c r="J564" s="90"/>
      <c r="K564" s="90"/>
      <c r="L564" s="90"/>
      <c r="M564" s="90"/>
    </row>
    <row r="565" spans="1:13" s="52" customFormat="1" ht="21.75" customHeight="1" x14ac:dyDescent="0.2">
      <c r="A565" s="70" t="s">
        <v>151</v>
      </c>
      <c r="B565" s="68">
        <v>10</v>
      </c>
      <c r="C565" s="67" t="s">
        <v>222</v>
      </c>
      <c r="D565" s="68" t="s">
        <v>238</v>
      </c>
      <c r="E565" s="68" t="s">
        <v>152</v>
      </c>
      <c r="F565" s="131">
        <f t="shared" si="42"/>
        <v>100</v>
      </c>
      <c r="G565" s="131">
        <f t="shared" si="42"/>
        <v>0</v>
      </c>
      <c r="H565" s="90"/>
      <c r="I565" s="90"/>
      <c r="J565" s="90"/>
      <c r="K565" s="90"/>
      <c r="L565" s="90"/>
      <c r="M565" s="90"/>
    </row>
    <row r="566" spans="1:13" s="52" customFormat="1" ht="21.75" customHeight="1" x14ac:dyDescent="0.2">
      <c r="A566" s="70" t="s">
        <v>153</v>
      </c>
      <c r="B566" s="68">
        <v>10</v>
      </c>
      <c r="C566" s="67" t="s">
        <v>222</v>
      </c>
      <c r="D566" s="68" t="s">
        <v>238</v>
      </c>
      <c r="E566" s="68" t="s">
        <v>154</v>
      </c>
      <c r="F566" s="131">
        <f>'ПР 8 ведом'!G160</f>
        <v>100</v>
      </c>
      <c r="G566" s="131">
        <f>'ПР 8 ведом'!H160</f>
        <v>0</v>
      </c>
      <c r="H566" s="90"/>
      <c r="I566" s="90"/>
      <c r="J566" s="90"/>
      <c r="K566" s="90"/>
      <c r="L566" s="90"/>
      <c r="M566" s="90"/>
    </row>
    <row r="567" spans="1:13" s="52" customFormat="1" ht="21.75" customHeight="1" x14ac:dyDescent="0.2">
      <c r="A567" s="341" t="s">
        <v>470</v>
      </c>
      <c r="B567" s="328">
        <v>11</v>
      </c>
      <c r="C567" s="305"/>
      <c r="D567" s="306"/>
      <c r="E567" s="306"/>
      <c r="F567" s="338">
        <f t="shared" ref="F567:G572" si="43">F568</f>
        <v>267.60000000000002</v>
      </c>
      <c r="G567" s="338">
        <f t="shared" si="43"/>
        <v>262.20000000000005</v>
      </c>
      <c r="H567" s="90"/>
      <c r="I567" s="90"/>
      <c r="J567" s="90"/>
      <c r="K567" s="90"/>
      <c r="L567" s="90"/>
      <c r="M567" s="90"/>
    </row>
    <row r="568" spans="1:13" s="52" customFormat="1" ht="21.75" customHeight="1" x14ac:dyDescent="0.2">
      <c r="A568" s="61" t="s">
        <v>472</v>
      </c>
      <c r="B568" s="96" t="s">
        <v>471</v>
      </c>
      <c r="C568" s="94" t="s">
        <v>286</v>
      </c>
      <c r="D568" s="96" t="s">
        <v>183</v>
      </c>
      <c r="E568" s="96" t="s">
        <v>184</v>
      </c>
      <c r="F568" s="219">
        <f t="shared" si="43"/>
        <v>267.60000000000002</v>
      </c>
      <c r="G568" s="219">
        <f t="shared" si="43"/>
        <v>262.20000000000005</v>
      </c>
      <c r="H568" s="90"/>
      <c r="I568" s="90"/>
      <c r="J568" s="90"/>
      <c r="K568" s="90"/>
      <c r="L568" s="90"/>
      <c r="M568" s="90"/>
    </row>
    <row r="569" spans="1:13" s="52" customFormat="1" ht="13.5" customHeight="1" x14ac:dyDescent="0.2">
      <c r="A569" s="61" t="s">
        <v>473</v>
      </c>
      <c r="B569" s="68" t="s">
        <v>471</v>
      </c>
      <c r="C569" s="67" t="s">
        <v>286</v>
      </c>
      <c r="D569" s="68" t="s">
        <v>474</v>
      </c>
      <c r="E569" s="68"/>
      <c r="F569" s="140">
        <f t="shared" si="43"/>
        <v>267.60000000000002</v>
      </c>
      <c r="G569" s="140">
        <f t="shared" si="43"/>
        <v>262.20000000000005</v>
      </c>
      <c r="H569" s="90"/>
      <c r="I569" s="90"/>
      <c r="J569" s="90"/>
      <c r="K569" s="90"/>
      <c r="L569" s="90"/>
      <c r="M569" s="90"/>
    </row>
    <row r="570" spans="1:13" s="52" customFormat="1" ht="13.5" customHeight="1" x14ac:dyDescent="0.2">
      <c r="A570" s="66" t="s">
        <v>475</v>
      </c>
      <c r="B570" s="68" t="s">
        <v>471</v>
      </c>
      <c r="C570" s="67" t="s">
        <v>286</v>
      </c>
      <c r="D570" s="68" t="s">
        <v>476</v>
      </c>
      <c r="E570" s="68"/>
      <c r="F570" s="140">
        <f t="shared" si="43"/>
        <v>267.60000000000002</v>
      </c>
      <c r="G570" s="140">
        <f t="shared" si="43"/>
        <v>262.20000000000005</v>
      </c>
      <c r="H570" s="90"/>
      <c r="I570" s="90"/>
      <c r="J570" s="90"/>
      <c r="K570" s="90"/>
      <c r="L570" s="90"/>
      <c r="M570" s="90"/>
    </row>
    <row r="571" spans="1:13" s="52" customFormat="1" ht="24.75" customHeight="1" x14ac:dyDescent="0.2">
      <c r="A571" s="66" t="s">
        <v>149</v>
      </c>
      <c r="B571" s="68" t="s">
        <v>471</v>
      </c>
      <c r="C571" s="67" t="s">
        <v>286</v>
      </c>
      <c r="D571" s="68" t="s">
        <v>476</v>
      </c>
      <c r="E571" s="68">
        <v>200</v>
      </c>
      <c r="F571" s="140">
        <f t="shared" si="43"/>
        <v>267.60000000000002</v>
      </c>
      <c r="G571" s="140">
        <f t="shared" si="43"/>
        <v>262.20000000000005</v>
      </c>
      <c r="H571" s="90"/>
      <c r="I571" s="90"/>
      <c r="J571" s="90"/>
      <c r="K571" s="90"/>
      <c r="L571" s="90"/>
      <c r="M571" s="90"/>
    </row>
    <row r="572" spans="1:13" s="52" customFormat="1" ht="24.75" customHeight="1" x14ac:dyDescent="0.2">
      <c r="A572" s="66" t="s">
        <v>151</v>
      </c>
      <c r="B572" s="68" t="s">
        <v>471</v>
      </c>
      <c r="C572" s="67" t="s">
        <v>286</v>
      </c>
      <c r="D572" s="68" t="s">
        <v>476</v>
      </c>
      <c r="E572" s="68">
        <v>240</v>
      </c>
      <c r="F572" s="140">
        <f t="shared" si="43"/>
        <v>267.60000000000002</v>
      </c>
      <c r="G572" s="140">
        <f t="shared" si="43"/>
        <v>262.20000000000005</v>
      </c>
      <c r="H572" s="90"/>
      <c r="I572" s="90"/>
      <c r="J572" s="90"/>
      <c r="K572" s="90"/>
      <c r="L572" s="90"/>
      <c r="M572" s="90"/>
    </row>
    <row r="573" spans="1:13" s="52" customFormat="1" ht="24.75" customHeight="1" x14ac:dyDescent="0.2">
      <c r="A573" s="70" t="s">
        <v>153</v>
      </c>
      <c r="B573" s="68" t="s">
        <v>471</v>
      </c>
      <c r="C573" s="67" t="s">
        <v>286</v>
      </c>
      <c r="D573" s="68" t="s">
        <v>476</v>
      </c>
      <c r="E573" s="68">
        <v>244</v>
      </c>
      <c r="F573" s="140">
        <f>'ПР 8 ведом'!G609</f>
        <v>267.60000000000002</v>
      </c>
      <c r="G573" s="140">
        <f>'ПР 8 ведом'!H609</f>
        <v>262.20000000000005</v>
      </c>
      <c r="H573" s="90"/>
      <c r="I573" s="90"/>
      <c r="J573" s="90"/>
      <c r="K573" s="90"/>
      <c r="L573" s="90"/>
      <c r="M573" s="90"/>
    </row>
    <row r="574" spans="1:13" s="52" customFormat="1" ht="24.75" customHeight="1" x14ac:dyDescent="0.2">
      <c r="A574" s="341" t="s">
        <v>477</v>
      </c>
      <c r="B574" s="328">
        <v>12</v>
      </c>
      <c r="C574" s="337"/>
      <c r="D574" s="328"/>
      <c r="E574" s="328"/>
      <c r="F574" s="340">
        <f t="shared" ref="F574:G579" si="44">F575</f>
        <v>89.2</v>
      </c>
      <c r="G574" s="340">
        <f t="shared" si="44"/>
        <v>87.4</v>
      </c>
      <c r="H574" s="90"/>
      <c r="I574" s="90"/>
      <c r="J574" s="90"/>
      <c r="K574" s="90"/>
      <c r="L574" s="90"/>
      <c r="M574" s="90"/>
    </row>
    <row r="575" spans="1:13" s="52" customFormat="1" ht="12" customHeight="1" x14ac:dyDescent="0.2">
      <c r="A575" s="61" t="s">
        <v>478</v>
      </c>
      <c r="B575" s="96">
        <v>12</v>
      </c>
      <c r="C575" s="94" t="s">
        <v>254</v>
      </c>
      <c r="D575" s="96"/>
      <c r="E575" s="96"/>
      <c r="F575" s="219">
        <f t="shared" si="44"/>
        <v>89.2</v>
      </c>
      <c r="G575" s="219">
        <f t="shared" si="44"/>
        <v>87.4</v>
      </c>
      <c r="H575" s="148"/>
      <c r="I575" s="90"/>
      <c r="J575" s="90"/>
      <c r="K575" s="90"/>
      <c r="L575" s="90"/>
      <c r="M575" s="90"/>
    </row>
    <row r="576" spans="1:13" s="52" customFormat="1" ht="31.5" x14ac:dyDescent="0.2">
      <c r="A576" s="61" t="s">
        <v>479</v>
      </c>
      <c r="B576" s="96">
        <v>12</v>
      </c>
      <c r="C576" s="94" t="s">
        <v>254</v>
      </c>
      <c r="D576" s="96" t="s">
        <v>480</v>
      </c>
      <c r="E576" s="96"/>
      <c r="F576" s="140">
        <f t="shared" si="44"/>
        <v>89.2</v>
      </c>
      <c r="G576" s="140">
        <f t="shared" si="44"/>
        <v>87.4</v>
      </c>
      <c r="H576" s="157"/>
      <c r="I576" s="90"/>
      <c r="J576" s="90"/>
      <c r="K576" s="90"/>
      <c r="L576" s="90"/>
      <c r="M576" s="90"/>
    </row>
    <row r="577" spans="1:13" s="52" customFormat="1" ht="34.5" customHeight="1" x14ac:dyDescent="0.2">
      <c r="A577" s="66" t="s">
        <v>481</v>
      </c>
      <c r="B577" s="68">
        <v>12</v>
      </c>
      <c r="C577" s="67" t="s">
        <v>254</v>
      </c>
      <c r="D577" s="68" t="s">
        <v>482</v>
      </c>
      <c r="E577" s="68"/>
      <c r="F577" s="140">
        <f t="shared" si="44"/>
        <v>89.2</v>
      </c>
      <c r="G577" s="140">
        <f t="shared" si="44"/>
        <v>87.4</v>
      </c>
      <c r="H577" s="90"/>
      <c r="I577" s="90"/>
      <c r="J577" s="90"/>
      <c r="K577" s="90"/>
      <c r="L577" s="90"/>
      <c r="M577" s="90"/>
    </row>
    <row r="578" spans="1:13" s="52" customFormat="1" ht="16.5" customHeight="1" x14ac:dyDescent="0.2">
      <c r="A578" s="66" t="s">
        <v>149</v>
      </c>
      <c r="B578" s="68">
        <v>12</v>
      </c>
      <c r="C578" s="67" t="s">
        <v>254</v>
      </c>
      <c r="D578" s="68" t="s">
        <v>482</v>
      </c>
      <c r="E578" s="68">
        <v>200</v>
      </c>
      <c r="F578" s="140">
        <f t="shared" si="44"/>
        <v>89.2</v>
      </c>
      <c r="G578" s="140">
        <f t="shared" si="44"/>
        <v>87.4</v>
      </c>
      <c r="H578" s="90"/>
      <c r="I578" s="90"/>
      <c r="J578" s="90"/>
      <c r="K578" s="90"/>
      <c r="L578" s="90"/>
      <c r="M578" s="90"/>
    </row>
    <row r="579" spans="1:13" s="52" customFormat="1" ht="22.5" customHeight="1" x14ac:dyDescent="0.2">
      <c r="A579" s="66" t="s">
        <v>151</v>
      </c>
      <c r="B579" s="68">
        <v>12</v>
      </c>
      <c r="C579" s="67" t="s">
        <v>254</v>
      </c>
      <c r="D579" s="68" t="s">
        <v>482</v>
      </c>
      <c r="E579" s="68">
        <v>240</v>
      </c>
      <c r="F579" s="140">
        <f t="shared" si="44"/>
        <v>89.2</v>
      </c>
      <c r="G579" s="140">
        <f t="shared" si="44"/>
        <v>87.4</v>
      </c>
      <c r="H579" s="90"/>
      <c r="I579" s="90"/>
      <c r="J579" s="90"/>
      <c r="K579" s="90"/>
      <c r="L579" s="90"/>
      <c r="M579" s="90"/>
    </row>
    <row r="580" spans="1:13" s="52" customFormat="1" ht="39" customHeight="1" x14ac:dyDescent="0.2">
      <c r="A580" s="70" t="s">
        <v>153</v>
      </c>
      <c r="B580" s="68">
        <v>12</v>
      </c>
      <c r="C580" s="67" t="s">
        <v>254</v>
      </c>
      <c r="D580" s="68" t="s">
        <v>482</v>
      </c>
      <c r="E580" s="68">
        <v>244</v>
      </c>
      <c r="F580" s="140">
        <f>'ПР 8 ведом'!G616</f>
        <v>89.2</v>
      </c>
      <c r="G580" s="140">
        <f>'ПР 8 ведом'!H616</f>
        <v>87.4</v>
      </c>
      <c r="H580" s="90"/>
      <c r="I580" s="90"/>
      <c r="J580" s="90"/>
      <c r="K580" s="90"/>
      <c r="L580" s="90"/>
      <c r="M580" s="90"/>
    </row>
    <row r="581" spans="1:13" s="52" customFormat="1" ht="28.5" customHeight="1" x14ac:dyDescent="0.2">
      <c r="A581" s="339" t="s">
        <v>344</v>
      </c>
      <c r="B581" s="328">
        <v>13</v>
      </c>
      <c r="C581" s="337"/>
      <c r="D581" s="328"/>
      <c r="E581" s="328"/>
      <c r="F581" s="340">
        <f t="shared" ref="F581:G586" si="45">F582</f>
        <v>17.84</v>
      </c>
      <c r="G581" s="340">
        <f t="shared" si="45"/>
        <v>17.480000000000004</v>
      </c>
      <c r="H581" s="90"/>
      <c r="I581" s="90"/>
      <c r="J581" s="90"/>
      <c r="K581" s="90"/>
      <c r="L581" s="90"/>
      <c r="M581" s="90"/>
    </row>
    <row r="582" spans="1:13" s="52" customFormat="1" ht="24.75" customHeight="1" x14ac:dyDescent="0.2">
      <c r="A582" s="98" t="s">
        <v>345</v>
      </c>
      <c r="B582" s="96">
        <v>13</v>
      </c>
      <c r="C582" s="94" t="s">
        <v>122</v>
      </c>
      <c r="D582" s="96"/>
      <c r="E582" s="96"/>
      <c r="F582" s="140">
        <f t="shared" si="45"/>
        <v>17.84</v>
      </c>
      <c r="G582" s="140">
        <f t="shared" si="45"/>
        <v>17.480000000000004</v>
      </c>
      <c r="H582" s="90"/>
      <c r="I582" s="90"/>
      <c r="J582" s="90"/>
      <c r="K582" s="90"/>
      <c r="L582" s="90"/>
      <c r="M582" s="90"/>
    </row>
    <row r="583" spans="1:13" s="52" customFormat="1" ht="24.75" customHeight="1" x14ac:dyDescent="0.2">
      <c r="A583" s="61" t="s">
        <v>324</v>
      </c>
      <c r="B583" s="96">
        <v>13</v>
      </c>
      <c r="C583" s="94" t="s">
        <v>122</v>
      </c>
      <c r="D583" s="96" t="s">
        <v>325</v>
      </c>
      <c r="E583" s="96"/>
      <c r="F583" s="140">
        <f t="shared" si="45"/>
        <v>17.84</v>
      </c>
      <c r="G583" s="140">
        <f t="shared" si="45"/>
        <v>17.480000000000004</v>
      </c>
      <c r="H583" s="90"/>
      <c r="I583" s="90"/>
      <c r="J583" s="90"/>
      <c r="K583" s="90"/>
      <c r="L583" s="90"/>
      <c r="M583" s="90"/>
    </row>
    <row r="584" spans="1:13" s="283" customFormat="1" x14ac:dyDescent="0.2">
      <c r="A584" s="66" t="s">
        <v>346</v>
      </c>
      <c r="B584" s="68">
        <v>13</v>
      </c>
      <c r="C584" s="67" t="s">
        <v>122</v>
      </c>
      <c r="D584" s="68" t="s">
        <v>347</v>
      </c>
      <c r="E584" s="96"/>
      <c r="F584" s="140">
        <f t="shared" si="45"/>
        <v>17.84</v>
      </c>
      <c r="G584" s="140">
        <f t="shared" si="45"/>
        <v>17.480000000000004</v>
      </c>
      <c r="H584" s="281"/>
      <c r="I584" s="282"/>
      <c r="J584" s="282"/>
      <c r="K584" s="282"/>
      <c r="L584" s="282"/>
      <c r="M584" s="282"/>
    </row>
    <row r="585" spans="1:13" s="283" customFormat="1" ht="14.25" customHeight="1" x14ac:dyDescent="0.2">
      <c r="A585" s="83" t="s">
        <v>348</v>
      </c>
      <c r="B585" s="68">
        <v>13</v>
      </c>
      <c r="C585" s="67" t="s">
        <v>122</v>
      </c>
      <c r="D585" s="68" t="s">
        <v>349</v>
      </c>
      <c r="E585" s="68"/>
      <c r="F585" s="140">
        <f t="shared" si="45"/>
        <v>17.84</v>
      </c>
      <c r="G585" s="140">
        <f t="shared" si="45"/>
        <v>17.480000000000004</v>
      </c>
      <c r="H585" s="282"/>
      <c r="I585" s="282"/>
      <c r="J585" s="282"/>
      <c r="K585" s="282"/>
      <c r="L585" s="282"/>
      <c r="M585" s="282"/>
    </row>
    <row r="586" spans="1:13" s="52" customFormat="1" ht="33" customHeight="1" x14ac:dyDescent="0.2">
      <c r="A586" s="83" t="s">
        <v>350</v>
      </c>
      <c r="B586" s="68">
        <v>13</v>
      </c>
      <c r="C586" s="67" t="s">
        <v>122</v>
      </c>
      <c r="D586" s="68" t="s">
        <v>349</v>
      </c>
      <c r="E586" s="68">
        <v>700</v>
      </c>
      <c r="F586" s="140">
        <f t="shared" si="45"/>
        <v>17.84</v>
      </c>
      <c r="G586" s="140">
        <f t="shared" si="45"/>
        <v>17.480000000000004</v>
      </c>
      <c r="H586" s="90"/>
      <c r="I586" s="90"/>
      <c r="J586" s="90"/>
      <c r="K586" s="90"/>
      <c r="L586" s="90"/>
      <c r="M586" s="90"/>
    </row>
    <row r="587" spans="1:13" s="52" customFormat="1" ht="19.5" customHeight="1" x14ac:dyDescent="0.2">
      <c r="A587" s="83" t="s">
        <v>351</v>
      </c>
      <c r="B587" s="68">
        <v>13</v>
      </c>
      <c r="C587" s="67" t="s">
        <v>122</v>
      </c>
      <c r="D587" s="68" t="s">
        <v>349</v>
      </c>
      <c r="E587" s="68">
        <v>730</v>
      </c>
      <c r="F587" s="140">
        <f>'ПР 8 ведом'!G391</f>
        <v>17.84</v>
      </c>
      <c r="G587" s="140">
        <f>'ПР 8 ведом'!H391</f>
        <v>17.480000000000004</v>
      </c>
      <c r="H587" s="90"/>
      <c r="I587" s="90"/>
      <c r="J587" s="90"/>
      <c r="K587" s="90"/>
      <c r="L587" s="90"/>
      <c r="M587" s="90"/>
    </row>
    <row r="588" spans="1:13" s="52" customFormat="1" ht="23.25" customHeight="1" x14ac:dyDescent="0.2">
      <c r="A588" s="336" t="s">
        <v>352</v>
      </c>
      <c r="B588" s="328" t="s">
        <v>353</v>
      </c>
      <c r="C588" s="337" t="s">
        <v>182</v>
      </c>
      <c r="D588" s="328" t="s">
        <v>183</v>
      </c>
      <c r="E588" s="328" t="s">
        <v>184</v>
      </c>
      <c r="F588" s="338">
        <f>F589+F599+F595</f>
        <v>12417.7996</v>
      </c>
      <c r="G588" s="338">
        <f>G589+G599+G595</f>
        <v>12167.216200000001</v>
      </c>
      <c r="H588" s="90"/>
      <c r="I588" s="90"/>
      <c r="J588" s="90"/>
      <c r="K588" s="90"/>
      <c r="L588" s="90"/>
      <c r="M588" s="90"/>
    </row>
    <row r="589" spans="1:13" s="52" customFormat="1" ht="23.25" customHeight="1" x14ac:dyDescent="0.2">
      <c r="A589" s="61" t="s">
        <v>354</v>
      </c>
      <c r="B589" s="96" t="s">
        <v>353</v>
      </c>
      <c r="C589" s="94" t="s">
        <v>122</v>
      </c>
      <c r="D589" s="96" t="s">
        <v>183</v>
      </c>
      <c r="E589" s="96" t="s">
        <v>184</v>
      </c>
      <c r="F589" s="138">
        <f t="shared" ref="F589:G593" si="46">F590</f>
        <v>11731.9408</v>
      </c>
      <c r="G589" s="138">
        <f t="shared" si="46"/>
        <v>11495.197600000001</v>
      </c>
      <c r="H589" s="90"/>
      <c r="I589" s="90"/>
      <c r="J589" s="90"/>
      <c r="K589" s="90"/>
      <c r="L589" s="90"/>
      <c r="M589" s="90"/>
    </row>
    <row r="590" spans="1:13" s="52" customFormat="1" ht="23.25" customHeight="1" x14ac:dyDescent="0.2">
      <c r="A590" s="66" t="s">
        <v>355</v>
      </c>
      <c r="B590" s="68" t="s">
        <v>353</v>
      </c>
      <c r="C590" s="67" t="s">
        <v>122</v>
      </c>
      <c r="D590" s="68" t="s">
        <v>356</v>
      </c>
      <c r="E590" s="68" t="s">
        <v>184</v>
      </c>
      <c r="F590" s="131">
        <f t="shared" si="46"/>
        <v>11731.9408</v>
      </c>
      <c r="G590" s="131">
        <f t="shared" si="46"/>
        <v>11495.197600000001</v>
      </c>
      <c r="H590" s="90"/>
      <c r="I590" s="90"/>
      <c r="J590" s="90"/>
      <c r="K590" s="90"/>
      <c r="L590" s="90"/>
      <c r="M590" s="90"/>
    </row>
    <row r="591" spans="1:13" s="59" customFormat="1" ht="22.5" x14ac:dyDescent="0.2">
      <c r="A591" s="83" t="s">
        <v>357</v>
      </c>
      <c r="B591" s="68" t="s">
        <v>353</v>
      </c>
      <c r="C591" s="67" t="s">
        <v>122</v>
      </c>
      <c r="D591" s="68" t="s">
        <v>358</v>
      </c>
      <c r="E591" s="68" t="s">
        <v>184</v>
      </c>
      <c r="F591" s="131">
        <f t="shared" si="46"/>
        <v>11731.9408</v>
      </c>
      <c r="G591" s="131">
        <f t="shared" si="46"/>
        <v>11495.197600000001</v>
      </c>
      <c r="H591" s="157"/>
      <c r="I591" s="89"/>
      <c r="J591" s="89"/>
      <c r="K591" s="89"/>
      <c r="L591" s="89"/>
      <c r="M591" s="89"/>
    </row>
    <row r="592" spans="1:13" s="59" customFormat="1" ht="11.25" x14ac:dyDescent="0.2">
      <c r="A592" s="83" t="s">
        <v>337</v>
      </c>
      <c r="B592" s="68" t="s">
        <v>353</v>
      </c>
      <c r="C592" s="67" t="s">
        <v>122</v>
      </c>
      <c r="D592" s="68" t="s">
        <v>358</v>
      </c>
      <c r="E592" s="68" t="s">
        <v>342</v>
      </c>
      <c r="F592" s="131">
        <f t="shared" si="46"/>
        <v>11731.9408</v>
      </c>
      <c r="G592" s="131">
        <f t="shared" si="46"/>
        <v>11495.197600000001</v>
      </c>
      <c r="H592" s="89"/>
      <c r="I592" s="89"/>
      <c r="J592" s="89"/>
      <c r="K592" s="89"/>
      <c r="L592" s="89"/>
      <c r="M592" s="89"/>
    </row>
    <row r="593" spans="1:13" s="59" customFormat="1" ht="11.25" x14ac:dyDescent="0.2">
      <c r="A593" s="66" t="s">
        <v>359</v>
      </c>
      <c r="B593" s="68" t="s">
        <v>353</v>
      </c>
      <c r="C593" s="67" t="s">
        <v>122</v>
      </c>
      <c r="D593" s="68" t="s">
        <v>358</v>
      </c>
      <c r="E593" s="68" t="s">
        <v>360</v>
      </c>
      <c r="F593" s="131">
        <f t="shared" si="46"/>
        <v>11731.9408</v>
      </c>
      <c r="G593" s="131">
        <f t="shared" si="46"/>
        <v>11495.197600000001</v>
      </c>
      <c r="H593" s="89"/>
      <c r="I593" s="89"/>
      <c r="J593" s="89"/>
      <c r="K593" s="89"/>
      <c r="L593" s="89"/>
      <c r="M593" s="89"/>
    </row>
    <row r="594" spans="1:13" s="59" customFormat="1" ht="11.25" x14ac:dyDescent="0.2">
      <c r="A594" s="70" t="s">
        <v>361</v>
      </c>
      <c r="B594" s="68" t="s">
        <v>353</v>
      </c>
      <c r="C594" s="67" t="s">
        <v>122</v>
      </c>
      <c r="D594" s="68" t="s">
        <v>358</v>
      </c>
      <c r="E594" s="68" t="s">
        <v>362</v>
      </c>
      <c r="F594" s="131">
        <f>'ПР 8 ведом'!G398</f>
        <v>11731.9408</v>
      </c>
      <c r="G594" s="131">
        <f>'ПР 8 ведом'!H398</f>
        <v>11495.197600000001</v>
      </c>
      <c r="H594" s="89"/>
      <c r="I594" s="89"/>
      <c r="J594" s="89"/>
      <c r="K594" s="89"/>
      <c r="L594" s="89"/>
      <c r="M594" s="89"/>
    </row>
    <row r="595" spans="1:13" s="59" customFormat="1" ht="47.25" customHeight="1" x14ac:dyDescent="0.2">
      <c r="A595" s="61" t="s">
        <v>363</v>
      </c>
      <c r="B595" s="96" t="s">
        <v>353</v>
      </c>
      <c r="C595" s="94" t="s">
        <v>254</v>
      </c>
      <c r="D595" s="96"/>
      <c r="E595" s="96"/>
      <c r="F595" s="138">
        <f t="shared" ref="F595:G597" si="47">F596</f>
        <v>624.4</v>
      </c>
      <c r="G595" s="138">
        <f t="shared" si="47"/>
        <v>611.80000000000007</v>
      </c>
      <c r="H595" s="89"/>
      <c r="I595" s="89"/>
      <c r="J595" s="89"/>
      <c r="K595" s="89"/>
      <c r="L595" s="89"/>
      <c r="M595" s="89"/>
    </row>
    <row r="596" spans="1:13" s="59" customFormat="1" ht="11.25" x14ac:dyDescent="0.2">
      <c r="A596" s="83" t="s">
        <v>337</v>
      </c>
      <c r="B596" s="68" t="s">
        <v>353</v>
      </c>
      <c r="C596" s="67" t="s">
        <v>254</v>
      </c>
      <c r="D596" s="68" t="s">
        <v>356</v>
      </c>
      <c r="E596" s="68" t="s">
        <v>342</v>
      </c>
      <c r="F596" s="131">
        <f t="shared" si="47"/>
        <v>624.4</v>
      </c>
      <c r="G596" s="131">
        <f t="shared" si="47"/>
        <v>611.80000000000007</v>
      </c>
      <c r="H596" s="89"/>
      <c r="I596" s="89"/>
      <c r="J596" s="89"/>
      <c r="K596" s="89"/>
      <c r="L596" s="89"/>
      <c r="M596" s="89"/>
    </row>
    <row r="597" spans="1:13" s="59" customFormat="1" ht="11.25" x14ac:dyDescent="0.2">
      <c r="A597" s="66" t="s">
        <v>359</v>
      </c>
      <c r="B597" s="68" t="s">
        <v>353</v>
      </c>
      <c r="C597" s="67" t="s">
        <v>254</v>
      </c>
      <c r="D597" s="68" t="s">
        <v>364</v>
      </c>
      <c r="E597" s="68" t="s">
        <v>360</v>
      </c>
      <c r="F597" s="131">
        <f t="shared" si="47"/>
        <v>624.4</v>
      </c>
      <c r="G597" s="131">
        <f t="shared" si="47"/>
        <v>611.80000000000007</v>
      </c>
      <c r="H597" s="89"/>
      <c r="I597" s="89"/>
      <c r="J597" s="89"/>
      <c r="K597" s="89"/>
      <c r="L597" s="89"/>
      <c r="M597" s="89"/>
    </row>
    <row r="598" spans="1:13" s="52" customFormat="1" x14ac:dyDescent="0.2">
      <c r="A598" s="70" t="s">
        <v>361</v>
      </c>
      <c r="B598" s="68" t="s">
        <v>353</v>
      </c>
      <c r="C598" s="67" t="s">
        <v>254</v>
      </c>
      <c r="D598" s="68" t="s">
        <v>364</v>
      </c>
      <c r="E598" s="68" t="s">
        <v>362</v>
      </c>
      <c r="F598" s="131">
        <f>'ПР 8 ведом'!G402</f>
        <v>624.4</v>
      </c>
      <c r="G598" s="131">
        <f>'ПР 8 ведом'!H402</f>
        <v>611.80000000000007</v>
      </c>
      <c r="H598" s="148"/>
      <c r="I598" s="90"/>
      <c r="J598" s="90"/>
      <c r="K598" s="90"/>
      <c r="L598" s="90"/>
      <c r="M598" s="90"/>
    </row>
    <row r="599" spans="1:13" s="283" customFormat="1" x14ac:dyDescent="0.2">
      <c r="A599" s="61" t="s">
        <v>365</v>
      </c>
      <c r="B599" s="96">
        <v>14</v>
      </c>
      <c r="C599" s="94" t="s">
        <v>188</v>
      </c>
      <c r="D599" s="96"/>
      <c r="E599" s="96"/>
      <c r="F599" s="138">
        <f t="shared" ref="F599:G604" si="48">+F600</f>
        <v>61.458800000000004</v>
      </c>
      <c r="G599" s="138">
        <f t="shared" si="48"/>
        <v>60.218600000000009</v>
      </c>
      <c r="H599" s="282"/>
      <c r="I599" s="282"/>
      <c r="J599" s="282"/>
      <c r="K599" s="282"/>
      <c r="L599" s="282"/>
      <c r="M599" s="282"/>
    </row>
    <row r="600" spans="1:13" s="52" customFormat="1" ht="15.75" customHeight="1" x14ac:dyDescent="0.2">
      <c r="A600" s="83" t="s">
        <v>337</v>
      </c>
      <c r="B600" s="84" t="s">
        <v>353</v>
      </c>
      <c r="C600" s="84" t="s">
        <v>188</v>
      </c>
      <c r="D600" s="84" t="s">
        <v>356</v>
      </c>
      <c r="E600" s="84" t="s">
        <v>184</v>
      </c>
      <c r="F600" s="135">
        <f t="shared" si="48"/>
        <v>61.458800000000004</v>
      </c>
      <c r="G600" s="135">
        <f t="shared" si="48"/>
        <v>60.218600000000009</v>
      </c>
      <c r="H600" s="90"/>
      <c r="I600" s="90"/>
      <c r="J600" s="90"/>
      <c r="K600" s="90"/>
      <c r="L600" s="90"/>
      <c r="M600" s="90"/>
    </row>
    <row r="601" spans="1:13" s="52" customFormat="1" ht="20.25" customHeight="1" x14ac:dyDescent="0.2">
      <c r="A601" s="83" t="s">
        <v>366</v>
      </c>
      <c r="B601" s="84" t="s">
        <v>353</v>
      </c>
      <c r="C601" s="84" t="s">
        <v>188</v>
      </c>
      <c r="D601" s="84" t="s">
        <v>367</v>
      </c>
      <c r="E601" s="84" t="s">
        <v>184</v>
      </c>
      <c r="F601" s="135">
        <f t="shared" si="48"/>
        <v>61.458800000000004</v>
      </c>
      <c r="G601" s="135">
        <f t="shared" si="48"/>
        <v>60.218600000000009</v>
      </c>
      <c r="H601" s="90"/>
      <c r="I601" s="90"/>
      <c r="J601" s="90"/>
      <c r="K601" s="90"/>
      <c r="L601" s="90"/>
      <c r="M601" s="90"/>
    </row>
    <row r="602" spans="1:13" s="52" customFormat="1" ht="14.25" customHeight="1" x14ac:dyDescent="0.2">
      <c r="A602" s="83" t="s">
        <v>368</v>
      </c>
      <c r="B602" s="84" t="s">
        <v>353</v>
      </c>
      <c r="C602" s="84" t="s">
        <v>188</v>
      </c>
      <c r="D602" s="84" t="s">
        <v>367</v>
      </c>
      <c r="E602" s="84" t="s">
        <v>184</v>
      </c>
      <c r="F602" s="135">
        <f t="shared" si="48"/>
        <v>61.458800000000004</v>
      </c>
      <c r="G602" s="135">
        <f t="shared" si="48"/>
        <v>60.218600000000009</v>
      </c>
      <c r="H602" s="90"/>
      <c r="I602" s="90"/>
      <c r="J602" s="90"/>
      <c r="K602" s="90"/>
      <c r="L602" s="90"/>
      <c r="M602" s="90"/>
    </row>
    <row r="603" spans="1:13" s="52" customFormat="1" ht="12" customHeight="1" x14ac:dyDescent="0.2">
      <c r="A603" s="83" t="s">
        <v>337</v>
      </c>
      <c r="B603" s="84" t="s">
        <v>353</v>
      </c>
      <c r="C603" s="84" t="s">
        <v>188</v>
      </c>
      <c r="D603" s="84" t="s">
        <v>367</v>
      </c>
      <c r="E603" s="84" t="s">
        <v>342</v>
      </c>
      <c r="F603" s="135">
        <f t="shared" si="48"/>
        <v>61.458800000000004</v>
      </c>
      <c r="G603" s="135">
        <f t="shared" si="48"/>
        <v>60.218600000000009</v>
      </c>
      <c r="H603" s="90"/>
      <c r="I603" s="90"/>
      <c r="J603" s="90"/>
      <c r="K603" s="90"/>
      <c r="L603" s="90"/>
      <c r="M603" s="90"/>
    </row>
    <row r="604" spans="1:13" s="52" customFormat="1" ht="12" customHeight="1" x14ac:dyDescent="0.2">
      <c r="A604" s="66" t="s">
        <v>359</v>
      </c>
      <c r="B604" s="84" t="s">
        <v>353</v>
      </c>
      <c r="C604" s="84" t="s">
        <v>188</v>
      </c>
      <c r="D604" s="84" t="s">
        <v>367</v>
      </c>
      <c r="E604" s="84" t="s">
        <v>370</v>
      </c>
      <c r="F604" s="135">
        <f t="shared" si="48"/>
        <v>61.458800000000004</v>
      </c>
      <c r="G604" s="135">
        <f t="shared" si="48"/>
        <v>60.218600000000009</v>
      </c>
      <c r="H604" s="90"/>
      <c r="I604" s="90"/>
      <c r="J604" s="90"/>
      <c r="K604" s="90"/>
      <c r="L604" s="90"/>
      <c r="M604" s="90"/>
    </row>
    <row r="605" spans="1:13" s="52" customFormat="1" ht="33.75" x14ac:dyDescent="0.2">
      <c r="A605" s="70" t="s">
        <v>371</v>
      </c>
      <c r="B605" s="84" t="s">
        <v>353</v>
      </c>
      <c r="C605" s="84" t="s">
        <v>188</v>
      </c>
      <c r="D605" s="84" t="s">
        <v>367</v>
      </c>
      <c r="E605" s="84" t="s">
        <v>372</v>
      </c>
      <c r="F605" s="135">
        <f>'ПР 8 ведом'!G409</f>
        <v>61.458800000000004</v>
      </c>
      <c r="G605" s="135">
        <f>'ПР 8 ведом'!H409</f>
        <v>60.218600000000009</v>
      </c>
      <c r="H605" s="90"/>
      <c r="I605" s="90"/>
      <c r="J605" s="90"/>
      <c r="K605" s="90"/>
      <c r="L605" s="90"/>
      <c r="M605" s="90"/>
    </row>
    <row r="606" spans="1:13" s="52" customFormat="1" ht="13.5" customHeight="1" x14ac:dyDescent="0.2">
      <c r="A606" s="370" t="s">
        <v>671</v>
      </c>
      <c r="B606" s="278"/>
      <c r="C606" s="278"/>
      <c r="D606" s="217" t="s">
        <v>670</v>
      </c>
      <c r="E606" s="217"/>
      <c r="F606" s="373">
        <f>'ПР 8 ведом'!G654</f>
        <v>0</v>
      </c>
      <c r="G606" s="373">
        <f>'ПР 8 ведом'!H654</f>
        <v>0</v>
      </c>
      <c r="H606" s="90"/>
      <c r="I606" s="90"/>
      <c r="J606" s="90"/>
      <c r="K606" s="90"/>
      <c r="L606" s="90"/>
      <c r="M606" s="90"/>
    </row>
    <row r="607" spans="1:13" s="52" customFormat="1" ht="13.5" customHeight="1" x14ac:dyDescent="0.2">
      <c r="A607" s="55"/>
      <c r="B607" s="60"/>
      <c r="C607" s="60"/>
      <c r="D607" s="60"/>
      <c r="E607" s="59"/>
      <c r="F607" s="274"/>
      <c r="G607" s="274"/>
      <c r="H607" s="90"/>
      <c r="I607" s="90"/>
      <c r="J607" s="90"/>
      <c r="K607" s="90"/>
      <c r="L607" s="90"/>
      <c r="M607" s="90"/>
    </row>
    <row r="608" spans="1:13" s="52" customFormat="1" ht="12.75" customHeight="1" x14ac:dyDescent="0.2">
      <c r="A608" s="55"/>
      <c r="B608" s="60"/>
      <c r="C608" s="60"/>
      <c r="D608" s="60"/>
      <c r="E608" s="59"/>
      <c r="F608" s="274"/>
      <c r="G608" s="274"/>
      <c r="H608" s="90"/>
      <c r="I608" s="90"/>
      <c r="J608" s="90"/>
      <c r="K608" s="90"/>
      <c r="L608" s="90"/>
      <c r="M608" s="90"/>
    </row>
    <row r="609" spans="1:13" s="52" customFormat="1" ht="13.5" customHeight="1" x14ac:dyDescent="0.2">
      <c r="A609" s="55"/>
      <c r="B609" s="60"/>
      <c r="C609" s="60"/>
      <c r="D609" s="60"/>
      <c r="E609" s="59"/>
      <c r="F609" s="274"/>
      <c r="G609" s="274"/>
      <c r="H609" s="90"/>
      <c r="I609" s="90"/>
      <c r="J609" s="90"/>
      <c r="K609" s="90"/>
      <c r="L609" s="90"/>
      <c r="M609" s="90"/>
    </row>
    <row r="610" spans="1:13" s="52" customFormat="1" ht="15" customHeight="1" x14ac:dyDescent="0.2">
      <c r="A610" s="55"/>
      <c r="B610" s="60"/>
      <c r="C610" s="60"/>
      <c r="D610" s="60"/>
      <c r="E610" s="59"/>
      <c r="F610" s="274"/>
      <c r="G610" s="274"/>
      <c r="H610" s="90"/>
      <c r="I610" s="90"/>
      <c r="J610" s="90"/>
      <c r="K610" s="90"/>
      <c r="L610" s="90"/>
      <c r="M610" s="90"/>
    </row>
    <row r="611" spans="1:13" s="52" customFormat="1" x14ac:dyDescent="0.2">
      <c r="A611" s="55"/>
      <c r="B611" s="60"/>
      <c r="C611" s="60"/>
      <c r="D611" s="60"/>
      <c r="E611" s="59"/>
      <c r="F611" s="274"/>
      <c r="G611" s="274"/>
      <c r="H611" s="90"/>
      <c r="I611" s="90"/>
      <c r="J611" s="90"/>
      <c r="K611" s="90"/>
      <c r="L611" s="90"/>
      <c r="M611" s="90"/>
    </row>
    <row r="612" spans="1:13" s="52" customFormat="1" ht="62.25" customHeight="1" x14ac:dyDescent="0.2">
      <c r="A612" s="55"/>
      <c r="B612" s="60"/>
      <c r="C612" s="60"/>
      <c r="D612" s="60"/>
      <c r="E612" s="59"/>
      <c r="F612" s="274"/>
      <c r="G612" s="274"/>
      <c r="H612" s="90"/>
      <c r="I612" s="90"/>
      <c r="J612" s="90"/>
      <c r="K612" s="90"/>
      <c r="L612" s="90"/>
      <c r="M612" s="90"/>
    </row>
    <row r="613" spans="1:13" s="52" customFormat="1" ht="16.5" customHeight="1" x14ac:dyDescent="0.2">
      <c r="A613" s="55"/>
      <c r="B613" s="60"/>
      <c r="C613" s="60"/>
      <c r="D613" s="60"/>
      <c r="E613" s="59"/>
      <c r="F613" s="274"/>
      <c r="G613" s="274"/>
      <c r="H613" s="90"/>
      <c r="I613" s="90"/>
      <c r="J613" s="90"/>
      <c r="K613" s="90"/>
      <c r="L613" s="90"/>
      <c r="M613" s="90"/>
    </row>
    <row r="614" spans="1:13" s="52" customFormat="1" ht="16.5" customHeight="1" x14ac:dyDescent="0.2">
      <c r="A614" s="55"/>
      <c r="B614" s="60"/>
      <c r="C614" s="60"/>
      <c r="D614" s="60"/>
      <c r="E614" s="59"/>
      <c r="F614" s="274"/>
      <c r="G614" s="274"/>
      <c r="H614" s="90"/>
      <c r="I614" s="90"/>
      <c r="J614" s="90"/>
      <c r="K614" s="90"/>
      <c r="L614" s="90"/>
      <c r="M614" s="90"/>
    </row>
    <row r="615" spans="1:13" s="52" customFormat="1" ht="38.25" customHeight="1" x14ac:dyDescent="0.2">
      <c r="A615" s="55"/>
      <c r="B615" s="60"/>
      <c r="C615" s="60"/>
      <c r="D615" s="60"/>
      <c r="E615" s="59"/>
      <c r="F615" s="274"/>
      <c r="G615" s="274"/>
      <c r="H615" s="90"/>
      <c r="I615" s="90"/>
      <c r="J615" s="90"/>
      <c r="K615" s="90"/>
      <c r="L615" s="90"/>
      <c r="M615" s="90"/>
    </row>
  </sheetData>
  <autoFilter ref="B13:C605"/>
  <mergeCells count="10">
    <mergeCell ref="A7:F7"/>
    <mergeCell ref="A8:F8"/>
    <mergeCell ref="A10:F10"/>
    <mergeCell ref="A11:E11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669"/>
  <sheetViews>
    <sheetView view="pageBreakPreview" topLeftCell="A586" zoomScale="85" zoomScaleNormal="100" zoomScaleSheetLayoutView="85" workbookViewId="0">
      <selection activeCell="G596" sqref="G596"/>
    </sheetView>
  </sheetViews>
  <sheetFormatPr defaultRowHeight="12.75" x14ac:dyDescent="0.2"/>
  <cols>
    <col min="1" max="1" width="57.140625" style="55" customWidth="1"/>
    <col min="2" max="2" width="4.7109375" style="56" customWidth="1"/>
    <col min="3" max="3" width="5.28515625" style="60" customWidth="1"/>
    <col min="4" max="4" width="3.7109375" style="56" customWidth="1"/>
    <col min="5" max="5" width="13.5703125" style="60" customWidth="1"/>
    <col min="6" max="6" width="7.42578125" style="60" bestFit="1" customWidth="1"/>
    <col min="7" max="7" width="10.28515625" style="53" bestFit="1" customWidth="1"/>
    <col min="8" max="8" width="9.7109375" style="161" customWidth="1"/>
    <col min="9" max="9" width="9.42578125" style="90" bestFit="1" customWidth="1"/>
    <col min="10" max="13" width="9.140625" style="90"/>
    <col min="14" max="256" width="9.140625" style="52"/>
    <col min="257" max="257" width="57.140625" style="52" customWidth="1"/>
    <col min="258" max="258" width="4.7109375" style="52" customWidth="1"/>
    <col min="259" max="259" width="5.28515625" style="52" customWidth="1"/>
    <col min="260" max="260" width="3.7109375" style="52" customWidth="1"/>
    <col min="261" max="261" width="13.5703125" style="52" customWidth="1"/>
    <col min="262" max="262" width="7.42578125" style="52" bestFit="1" customWidth="1"/>
    <col min="263" max="263" width="10.28515625" style="52" bestFit="1" customWidth="1"/>
    <col min="264" max="264" width="8.28515625" style="52" customWidth="1"/>
    <col min="265" max="265" width="9.42578125" style="52" bestFit="1" customWidth="1"/>
    <col min="266" max="512" width="9.140625" style="52"/>
    <col min="513" max="513" width="57.140625" style="52" customWidth="1"/>
    <col min="514" max="514" width="4.7109375" style="52" customWidth="1"/>
    <col min="515" max="515" width="5.28515625" style="52" customWidth="1"/>
    <col min="516" max="516" width="3.7109375" style="52" customWidth="1"/>
    <col min="517" max="517" width="13.5703125" style="52" customWidth="1"/>
    <col min="518" max="518" width="7.42578125" style="52" bestFit="1" customWidth="1"/>
    <col min="519" max="519" width="10.28515625" style="52" bestFit="1" customWidth="1"/>
    <col min="520" max="520" width="8.28515625" style="52" customWidth="1"/>
    <col min="521" max="521" width="9.42578125" style="52" bestFit="1" customWidth="1"/>
    <col min="522" max="768" width="9.140625" style="52"/>
    <col min="769" max="769" width="57.140625" style="52" customWidth="1"/>
    <col min="770" max="770" width="4.7109375" style="52" customWidth="1"/>
    <col min="771" max="771" width="5.28515625" style="52" customWidth="1"/>
    <col min="772" max="772" width="3.7109375" style="52" customWidth="1"/>
    <col min="773" max="773" width="13.5703125" style="52" customWidth="1"/>
    <col min="774" max="774" width="7.42578125" style="52" bestFit="1" customWidth="1"/>
    <col min="775" max="775" width="10.28515625" style="52" bestFit="1" customWidth="1"/>
    <col min="776" max="776" width="8.28515625" style="52" customWidth="1"/>
    <col min="777" max="777" width="9.42578125" style="52" bestFit="1" customWidth="1"/>
    <col min="778" max="1024" width="9.140625" style="52"/>
    <col min="1025" max="1025" width="57.140625" style="52" customWidth="1"/>
    <col min="1026" max="1026" width="4.7109375" style="52" customWidth="1"/>
    <col min="1027" max="1027" width="5.28515625" style="52" customWidth="1"/>
    <col min="1028" max="1028" width="3.7109375" style="52" customWidth="1"/>
    <col min="1029" max="1029" width="13.5703125" style="52" customWidth="1"/>
    <col min="1030" max="1030" width="7.42578125" style="52" bestFit="1" customWidth="1"/>
    <col min="1031" max="1031" width="10.28515625" style="52" bestFit="1" customWidth="1"/>
    <col min="1032" max="1032" width="8.28515625" style="52" customWidth="1"/>
    <col min="1033" max="1033" width="9.42578125" style="52" bestFit="1" customWidth="1"/>
    <col min="1034" max="1280" width="9.140625" style="52"/>
    <col min="1281" max="1281" width="57.140625" style="52" customWidth="1"/>
    <col min="1282" max="1282" width="4.7109375" style="52" customWidth="1"/>
    <col min="1283" max="1283" width="5.28515625" style="52" customWidth="1"/>
    <col min="1284" max="1284" width="3.7109375" style="52" customWidth="1"/>
    <col min="1285" max="1285" width="13.5703125" style="52" customWidth="1"/>
    <col min="1286" max="1286" width="7.42578125" style="52" bestFit="1" customWidth="1"/>
    <col min="1287" max="1287" width="10.28515625" style="52" bestFit="1" customWidth="1"/>
    <col min="1288" max="1288" width="8.28515625" style="52" customWidth="1"/>
    <col min="1289" max="1289" width="9.42578125" style="52" bestFit="1" customWidth="1"/>
    <col min="1290" max="1536" width="9.140625" style="52"/>
    <col min="1537" max="1537" width="57.140625" style="52" customWidth="1"/>
    <col min="1538" max="1538" width="4.7109375" style="52" customWidth="1"/>
    <col min="1539" max="1539" width="5.28515625" style="52" customWidth="1"/>
    <col min="1540" max="1540" width="3.7109375" style="52" customWidth="1"/>
    <col min="1541" max="1541" width="13.5703125" style="52" customWidth="1"/>
    <col min="1542" max="1542" width="7.42578125" style="52" bestFit="1" customWidth="1"/>
    <col min="1543" max="1543" width="10.28515625" style="52" bestFit="1" customWidth="1"/>
    <col min="1544" max="1544" width="8.28515625" style="52" customWidth="1"/>
    <col min="1545" max="1545" width="9.42578125" style="52" bestFit="1" customWidth="1"/>
    <col min="1546" max="1792" width="9.140625" style="52"/>
    <col min="1793" max="1793" width="57.140625" style="52" customWidth="1"/>
    <col min="1794" max="1794" width="4.7109375" style="52" customWidth="1"/>
    <col min="1795" max="1795" width="5.28515625" style="52" customWidth="1"/>
    <col min="1796" max="1796" width="3.7109375" style="52" customWidth="1"/>
    <col min="1797" max="1797" width="13.5703125" style="52" customWidth="1"/>
    <col min="1798" max="1798" width="7.42578125" style="52" bestFit="1" customWidth="1"/>
    <col min="1799" max="1799" width="10.28515625" style="52" bestFit="1" customWidth="1"/>
    <col min="1800" max="1800" width="8.28515625" style="52" customWidth="1"/>
    <col min="1801" max="1801" width="9.42578125" style="52" bestFit="1" customWidth="1"/>
    <col min="1802" max="2048" width="9.140625" style="52"/>
    <col min="2049" max="2049" width="57.140625" style="52" customWidth="1"/>
    <col min="2050" max="2050" width="4.7109375" style="52" customWidth="1"/>
    <col min="2051" max="2051" width="5.28515625" style="52" customWidth="1"/>
    <col min="2052" max="2052" width="3.7109375" style="52" customWidth="1"/>
    <col min="2053" max="2053" width="13.5703125" style="52" customWidth="1"/>
    <col min="2054" max="2054" width="7.42578125" style="52" bestFit="1" customWidth="1"/>
    <col min="2055" max="2055" width="10.28515625" style="52" bestFit="1" customWidth="1"/>
    <col min="2056" max="2056" width="8.28515625" style="52" customWidth="1"/>
    <col min="2057" max="2057" width="9.42578125" style="52" bestFit="1" customWidth="1"/>
    <col min="2058" max="2304" width="9.140625" style="52"/>
    <col min="2305" max="2305" width="57.140625" style="52" customWidth="1"/>
    <col min="2306" max="2306" width="4.7109375" style="52" customWidth="1"/>
    <col min="2307" max="2307" width="5.28515625" style="52" customWidth="1"/>
    <col min="2308" max="2308" width="3.7109375" style="52" customWidth="1"/>
    <col min="2309" max="2309" width="13.5703125" style="52" customWidth="1"/>
    <col min="2310" max="2310" width="7.42578125" style="52" bestFit="1" customWidth="1"/>
    <col min="2311" max="2311" width="10.28515625" style="52" bestFit="1" customWidth="1"/>
    <col min="2312" max="2312" width="8.28515625" style="52" customWidth="1"/>
    <col min="2313" max="2313" width="9.42578125" style="52" bestFit="1" customWidth="1"/>
    <col min="2314" max="2560" width="9.140625" style="52"/>
    <col min="2561" max="2561" width="57.140625" style="52" customWidth="1"/>
    <col min="2562" max="2562" width="4.7109375" style="52" customWidth="1"/>
    <col min="2563" max="2563" width="5.28515625" style="52" customWidth="1"/>
    <col min="2564" max="2564" width="3.7109375" style="52" customWidth="1"/>
    <col min="2565" max="2565" width="13.5703125" style="52" customWidth="1"/>
    <col min="2566" max="2566" width="7.42578125" style="52" bestFit="1" customWidth="1"/>
    <col min="2567" max="2567" width="10.28515625" style="52" bestFit="1" customWidth="1"/>
    <col min="2568" max="2568" width="8.28515625" style="52" customWidth="1"/>
    <col min="2569" max="2569" width="9.42578125" style="52" bestFit="1" customWidth="1"/>
    <col min="2570" max="2816" width="9.140625" style="52"/>
    <col min="2817" max="2817" width="57.140625" style="52" customWidth="1"/>
    <col min="2818" max="2818" width="4.7109375" style="52" customWidth="1"/>
    <col min="2819" max="2819" width="5.28515625" style="52" customWidth="1"/>
    <col min="2820" max="2820" width="3.7109375" style="52" customWidth="1"/>
    <col min="2821" max="2821" width="13.5703125" style="52" customWidth="1"/>
    <col min="2822" max="2822" width="7.42578125" style="52" bestFit="1" customWidth="1"/>
    <col min="2823" max="2823" width="10.28515625" style="52" bestFit="1" customWidth="1"/>
    <col min="2824" max="2824" width="8.28515625" style="52" customWidth="1"/>
    <col min="2825" max="2825" width="9.42578125" style="52" bestFit="1" customWidth="1"/>
    <col min="2826" max="3072" width="9.140625" style="52"/>
    <col min="3073" max="3073" width="57.140625" style="52" customWidth="1"/>
    <col min="3074" max="3074" width="4.7109375" style="52" customWidth="1"/>
    <col min="3075" max="3075" width="5.28515625" style="52" customWidth="1"/>
    <col min="3076" max="3076" width="3.7109375" style="52" customWidth="1"/>
    <col min="3077" max="3077" width="13.5703125" style="52" customWidth="1"/>
    <col min="3078" max="3078" width="7.42578125" style="52" bestFit="1" customWidth="1"/>
    <col min="3079" max="3079" width="10.28515625" style="52" bestFit="1" customWidth="1"/>
    <col min="3080" max="3080" width="8.28515625" style="52" customWidth="1"/>
    <col min="3081" max="3081" width="9.42578125" style="52" bestFit="1" customWidth="1"/>
    <col min="3082" max="3328" width="9.140625" style="52"/>
    <col min="3329" max="3329" width="57.140625" style="52" customWidth="1"/>
    <col min="3330" max="3330" width="4.7109375" style="52" customWidth="1"/>
    <col min="3331" max="3331" width="5.28515625" style="52" customWidth="1"/>
    <col min="3332" max="3332" width="3.7109375" style="52" customWidth="1"/>
    <col min="3333" max="3333" width="13.5703125" style="52" customWidth="1"/>
    <col min="3334" max="3334" width="7.42578125" style="52" bestFit="1" customWidth="1"/>
    <col min="3335" max="3335" width="10.28515625" style="52" bestFit="1" customWidth="1"/>
    <col min="3336" max="3336" width="8.28515625" style="52" customWidth="1"/>
    <col min="3337" max="3337" width="9.42578125" style="52" bestFit="1" customWidth="1"/>
    <col min="3338" max="3584" width="9.140625" style="52"/>
    <col min="3585" max="3585" width="57.140625" style="52" customWidth="1"/>
    <col min="3586" max="3586" width="4.7109375" style="52" customWidth="1"/>
    <col min="3587" max="3587" width="5.28515625" style="52" customWidth="1"/>
    <col min="3588" max="3588" width="3.7109375" style="52" customWidth="1"/>
    <col min="3589" max="3589" width="13.5703125" style="52" customWidth="1"/>
    <col min="3590" max="3590" width="7.42578125" style="52" bestFit="1" customWidth="1"/>
    <col min="3591" max="3591" width="10.28515625" style="52" bestFit="1" customWidth="1"/>
    <col min="3592" max="3592" width="8.28515625" style="52" customWidth="1"/>
    <col min="3593" max="3593" width="9.42578125" style="52" bestFit="1" customWidth="1"/>
    <col min="3594" max="3840" width="9.140625" style="52"/>
    <col min="3841" max="3841" width="57.140625" style="52" customWidth="1"/>
    <col min="3842" max="3842" width="4.7109375" style="52" customWidth="1"/>
    <col min="3843" max="3843" width="5.28515625" style="52" customWidth="1"/>
    <col min="3844" max="3844" width="3.7109375" style="52" customWidth="1"/>
    <col min="3845" max="3845" width="13.5703125" style="52" customWidth="1"/>
    <col min="3846" max="3846" width="7.42578125" style="52" bestFit="1" customWidth="1"/>
    <col min="3847" max="3847" width="10.28515625" style="52" bestFit="1" customWidth="1"/>
    <col min="3848" max="3848" width="8.28515625" style="52" customWidth="1"/>
    <col min="3849" max="3849" width="9.42578125" style="52" bestFit="1" customWidth="1"/>
    <col min="3850" max="4096" width="9.140625" style="52"/>
    <col min="4097" max="4097" width="57.140625" style="52" customWidth="1"/>
    <col min="4098" max="4098" width="4.7109375" style="52" customWidth="1"/>
    <col min="4099" max="4099" width="5.28515625" style="52" customWidth="1"/>
    <col min="4100" max="4100" width="3.7109375" style="52" customWidth="1"/>
    <col min="4101" max="4101" width="13.5703125" style="52" customWidth="1"/>
    <col min="4102" max="4102" width="7.42578125" style="52" bestFit="1" customWidth="1"/>
    <col min="4103" max="4103" width="10.28515625" style="52" bestFit="1" customWidth="1"/>
    <col min="4104" max="4104" width="8.28515625" style="52" customWidth="1"/>
    <col min="4105" max="4105" width="9.42578125" style="52" bestFit="1" customWidth="1"/>
    <col min="4106" max="4352" width="9.140625" style="52"/>
    <col min="4353" max="4353" width="57.140625" style="52" customWidth="1"/>
    <col min="4354" max="4354" width="4.7109375" style="52" customWidth="1"/>
    <col min="4355" max="4355" width="5.28515625" style="52" customWidth="1"/>
    <col min="4356" max="4356" width="3.7109375" style="52" customWidth="1"/>
    <col min="4357" max="4357" width="13.5703125" style="52" customWidth="1"/>
    <col min="4358" max="4358" width="7.42578125" style="52" bestFit="1" customWidth="1"/>
    <col min="4359" max="4359" width="10.28515625" style="52" bestFit="1" customWidth="1"/>
    <col min="4360" max="4360" width="8.28515625" style="52" customWidth="1"/>
    <col min="4361" max="4361" width="9.42578125" style="52" bestFit="1" customWidth="1"/>
    <col min="4362" max="4608" width="9.140625" style="52"/>
    <col min="4609" max="4609" width="57.140625" style="52" customWidth="1"/>
    <col min="4610" max="4610" width="4.7109375" style="52" customWidth="1"/>
    <col min="4611" max="4611" width="5.28515625" style="52" customWidth="1"/>
    <col min="4612" max="4612" width="3.7109375" style="52" customWidth="1"/>
    <col min="4613" max="4613" width="13.5703125" style="52" customWidth="1"/>
    <col min="4614" max="4614" width="7.42578125" style="52" bestFit="1" customWidth="1"/>
    <col min="4615" max="4615" width="10.28515625" style="52" bestFit="1" customWidth="1"/>
    <col min="4616" max="4616" width="8.28515625" style="52" customWidth="1"/>
    <col min="4617" max="4617" width="9.42578125" style="52" bestFit="1" customWidth="1"/>
    <col min="4618" max="4864" width="9.140625" style="52"/>
    <col min="4865" max="4865" width="57.140625" style="52" customWidth="1"/>
    <col min="4866" max="4866" width="4.7109375" style="52" customWidth="1"/>
    <col min="4867" max="4867" width="5.28515625" style="52" customWidth="1"/>
    <col min="4868" max="4868" width="3.7109375" style="52" customWidth="1"/>
    <col min="4869" max="4869" width="13.5703125" style="52" customWidth="1"/>
    <col min="4870" max="4870" width="7.42578125" style="52" bestFit="1" customWidth="1"/>
    <col min="4871" max="4871" width="10.28515625" style="52" bestFit="1" customWidth="1"/>
    <col min="4872" max="4872" width="8.28515625" style="52" customWidth="1"/>
    <col min="4873" max="4873" width="9.42578125" style="52" bestFit="1" customWidth="1"/>
    <col min="4874" max="5120" width="9.140625" style="52"/>
    <col min="5121" max="5121" width="57.140625" style="52" customWidth="1"/>
    <col min="5122" max="5122" width="4.7109375" style="52" customWidth="1"/>
    <col min="5123" max="5123" width="5.28515625" style="52" customWidth="1"/>
    <col min="5124" max="5124" width="3.7109375" style="52" customWidth="1"/>
    <col min="5125" max="5125" width="13.5703125" style="52" customWidth="1"/>
    <col min="5126" max="5126" width="7.42578125" style="52" bestFit="1" customWidth="1"/>
    <col min="5127" max="5127" width="10.28515625" style="52" bestFit="1" customWidth="1"/>
    <col min="5128" max="5128" width="8.28515625" style="52" customWidth="1"/>
    <col min="5129" max="5129" width="9.42578125" style="52" bestFit="1" customWidth="1"/>
    <col min="5130" max="5376" width="9.140625" style="52"/>
    <col min="5377" max="5377" width="57.140625" style="52" customWidth="1"/>
    <col min="5378" max="5378" width="4.7109375" style="52" customWidth="1"/>
    <col min="5379" max="5379" width="5.28515625" style="52" customWidth="1"/>
    <col min="5380" max="5380" width="3.7109375" style="52" customWidth="1"/>
    <col min="5381" max="5381" width="13.5703125" style="52" customWidth="1"/>
    <col min="5382" max="5382" width="7.42578125" style="52" bestFit="1" customWidth="1"/>
    <col min="5383" max="5383" width="10.28515625" style="52" bestFit="1" customWidth="1"/>
    <col min="5384" max="5384" width="8.28515625" style="52" customWidth="1"/>
    <col min="5385" max="5385" width="9.42578125" style="52" bestFit="1" customWidth="1"/>
    <col min="5386" max="5632" width="9.140625" style="52"/>
    <col min="5633" max="5633" width="57.140625" style="52" customWidth="1"/>
    <col min="5634" max="5634" width="4.7109375" style="52" customWidth="1"/>
    <col min="5635" max="5635" width="5.28515625" style="52" customWidth="1"/>
    <col min="5636" max="5636" width="3.7109375" style="52" customWidth="1"/>
    <col min="5637" max="5637" width="13.5703125" style="52" customWidth="1"/>
    <col min="5638" max="5638" width="7.42578125" style="52" bestFit="1" customWidth="1"/>
    <col min="5639" max="5639" width="10.28515625" style="52" bestFit="1" customWidth="1"/>
    <col min="5640" max="5640" width="8.28515625" style="52" customWidth="1"/>
    <col min="5641" max="5641" width="9.42578125" style="52" bestFit="1" customWidth="1"/>
    <col min="5642" max="5888" width="9.140625" style="52"/>
    <col min="5889" max="5889" width="57.140625" style="52" customWidth="1"/>
    <col min="5890" max="5890" width="4.7109375" style="52" customWidth="1"/>
    <col min="5891" max="5891" width="5.28515625" style="52" customWidth="1"/>
    <col min="5892" max="5892" width="3.7109375" style="52" customWidth="1"/>
    <col min="5893" max="5893" width="13.5703125" style="52" customWidth="1"/>
    <col min="5894" max="5894" width="7.42578125" style="52" bestFit="1" customWidth="1"/>
    <col min="5895" max="5895" width="10.28515625" style="52" bestFit="1" customWidth="1"/>
    <col min="5896" max="5896" width="8.28515625" style="52" customWidth="1"/>
    <col min="5897" max="5897" width="9.42578125" style="52" bestFit="1" customWidth="1"/>
    <col min="5898" max="6144" width="9.140625" style="52"/>
    <col min="6145" max="6145" width="57.140625" style="52" customWidth="1"/>
    <col min="6146" max="6146" width="4.7109375" style="52" customWidth="1"/>
    <col min="6147" max="6147" width="5.28515625" style="52" customWidth="1"/>
    <col min="6148" max="6148" width="3.7109375" style="52" customWidth="1"/>
    <col min="6149" max="6149" width="13.5703125" style="52" customWidth="1"/>
    <col min="6150" max="6150" width="7.42578125" style="52" bestFit="1" customWidth="1"/>
    <col min="6151" max="6151" width="10.28515625" style="52" bestFit="1" customWidth="1"/>
    <col min="6152" max="6152" width="8.28515625" style="52" customWidth="1"/>
    <col min="6153" max="6153" width="9.42578125" style="52" bestFit="1" customWidth="1"/>
    <col min="6154" max="6400" width="9.140625" style="52"/>
    <col min="6401" max="6401" width="57.140625" style="52" customWidth="1"/>
    <col min="6402" max="6402" width="4.7109375" style="52" customWidth="1"/>
    <col min="6403" max="6403" width="5.28515625" style="52" customWidth="1"/>
    <col min="6404" max="6404" width="3.7109375" style="52" customWidth="1"/>
    <col min="6405" max="6405" width="13.5703125" style="52" customWidth="1"/>
    <col min="6406" max="6406" width="7.42578125" style="52" bestFit="1" customWidth="1"/>
    <col min="6407" max="6407" width="10.28515625" style="52" bestFit="1" customWidth="1"/>
    <col min="6408" max="6408" width="8.28515625" style="52" customWidth="1"/>
    <col min="6409" max="6409" width="9.42578125" style="52" bestFit="1" customWidth="1"/>
    <col min="6410" max="6656" width="9.140625" style="52"/>
    <col min="6657" max="6657" width="57.140625" style="52" customWidth="1"/>
    <col min="6658" max="6658" width="4.7109375" style="52" customWidth="1"/>
    <col min="6659" max="6659" width="5.28515625" style="52" customWidth="1"/>
    <col min="6660" max="6660" width="3.7109375" style="52" customWidth="1"/>
    <col min="6661" max="6661" width="13.5703125" style="52" customWidth="1"/>
    <col min="6662" max="6662" width="7.42578125" style="52" bestFit="1" customWidth="1"/>
    <col min="6663" max="6663" width="10.28515625" style="52" bestFit="1" customWidth="1"/>
    <col min="6664" max="6664" width="8.28515625" style="52" customWidth="1"/>
    <col min="6665" max="6665" width="9.42578125" style="52" bestFit="1" customWidth="1"/>
    <col min="6666" max="6912" width="9.140625" style="52"/>
    <col min="6913" max="6913" width="57.140625" style="52" customWidth="1"/>
    <col min="6914" max="6914" width="4.7109375" style="52" customWidth="1"/>
    <col min="6915" max="6915" width="5.28515625" style="52" customWidth="1"/>
    <col min="6916" max="6916" width="3.7109375" style="52" customWidth="1"/>
    <col min="6917" max="6917" width="13.5703125" style="52" customWidth="1"/>
    <col min="6918" max="6918" width="7.42578125" style="52" bestFit="1" customWidth="1"/>
    <col min="6919" max="6919" width="10.28515625" style="52" bestFit="1" customWidth="1"/>
    <col min="6920" max="6920" width="8.28515625" style="52" customWidth="1"/>
    <col min="6921" max="6921" width="9.42578125" style="52" bestFit="1" customWidth="1"/>
    <col min="6922" max="7168" width="9.140625" style="52"/>
    <col min="7169" max="7169" width="57.140625" style="52" customWidth="1"/>
    <col min="7170" max="7170" width="4.7109375" style="52" customWidth="1"/>
    <col min="7171" max="7171" width="5.28515625" style="52" customWidth="1"/>
    <col min="7172" max="7172" width="3.7109375" style="52" customWidth="1"/>
    <col min="7173" max="7173" width="13.5703125" style="52" customWidth="1"/>
    <col min="7174" max="7174" width="7.42578125" style="52" bestFit="1" customWidth="1"/>
    <col min="7175" max="7175" width="10.28515625" style="52" bestFit="1" customWidth="1"/>
    <col min="7176" max="7176" width="8.28515625" style="52" customWidth="1"/>
    <col min="7177" max="7177" width="9.42578125" style="52" bestFit="1" customWidth="1"/>
    <col min="7178" max="7424" width="9.140625" style="52"/>
    <col min="7425" max="7425" width="57.140625" style="52" customWidth="1"/>
    <col min="7426" max="7426" width="4.7109375" style="52" customWidth="1"/>
    <col min="7427" max="7427" width="5.28515625" style="52" customWidth="1"/>
    <col min="7428" max="7428" width="3.7109375" style="52" customWidth="1"/>
    <col min="7429" max="7429" width="13.5703125" style="52" customWidth="1"/>
    <col min="7430" max="7430" width="7.42578125" style="52" bestFit="1" customWidth="1"/>
    <col min="7431" max="7431" width="10.28515625" style="52" bestFit="1" customWidth="1"/>
    <col min="7432" max="7432" width="8.28515625" style="52" customWidth="1"/>
    <col min="7433" max="7433" width="9.42578125" style="52" bestFit="1" customWidth="1"/>
    <col min="7434" max="7680" width="9.140625" style="52"/>
    <col min="7681" max="7681" width="57.140625" style="52" customWidth="1"/>
    <col min="7682" max="7682" width="4.7109375" style="52" customWidth="1"/>
    <col min="7683" max="7683" width="5.28515625" style="52" customWidth="1"/>
    <col min="7684" max="7684" width="3.7109375" style="52" customWidth="1"/>
    <col min="7685" max="7685" width="13.5703125" style="52" customWidth="1"/>
    <col min="7686" max="7686" width="7.42578125" style="52" bestFit="1" customWidth="1"/>
    <col min="7687" max="7687" width="10.28515625" style="52" bestFit="1" customWidth="1"/>
    <col min="7688" max="7688" width="8.28515625" style="52" customWidth="1"/>
    <col min="7689" max="7689" width="9.42578125" style="52" bestFit="1" customWidth="1"/>
    <col min="7690" max="7936" width="9.140625" style="52"/>
    <col min="7937" max="7937" width="57.140625" style="52" customWidth="1"/>
    <col min="7938" max="7938" width="4.7109375" style="52" customWidth="1"/>
    <col min="7939" max="7939" width="5.28515625" style="52" customWidth="1"/>
    <col min="7940" max="7940" width="3.7109375" style="52" customWidth="1"/>
    <col min="7941" max="7941" width="13.5703125" style="52" customWidth="1"/>
    <col min="7942" max="7942" width="7.42578125" style="52" bestFit="1" customWidth="1"/>
    <col min="7943" max="7943" width="10.28515625" style="52" bestFit="1" customWidth="1"/>
    <col min="7944" max="7944" width="8.28515625" style="52" customWidth="1"/>
    <col min="7945" max="7945" width="9.42578125" style="52" bestFit="1" customWidth="1"/>
    <col min="7946" max="8192" width="9.140625" style="52"/>
    <col min="8193" max="8193" width="57.140625" style="52" customWidth="1"/>
    <col min="8194" max="8194" width="4.7109375" style="52" customWidth="1"/>
    <col min="8195" max="8195" width="5.28515625" style="52" customWidth="1"/>
    <col min="8196" max="8196" width="3.7109375" style="52" customWidth="1"/>
    <col min="8197" max="8197" width="13.5703125" style="52" customWidth="1"/>
    <col min="8198" max="8198" width="7.42578125" style="52" bestFit="1" customWidth="1"/>
    <col min="8199" max="8199" width="10.28515625" style="52" bestFit="1" customWidth="1"/>
    <col min="8200" max="8200" width="8.28515625" style="52" customWidth="1"/>
    <col min="8201" max="8201" width="9.42578125" style="52" bestFit="1" customWidth="1"/>
    <col min="8202" max="8448" width="9.140625" style="52"/>
    <col min="8449" max="8449" width="57.140625" style="52" customWidth="1"/>
    <col min="8450" max="8450" width="4.7109375" style="52" customWidth="1"/>
    <col min="8451" max="8451" width="5.28515625" style="52" customWidth="1"/>
    <col min="8452" max="8452" width="3.7109375" style="52" customWidth="1"/>
    <col min="8453" max="8453" width="13.5703125" style="52" customWidth="1"/>
    <col min="8454" max="8454" width="7.42578125" style="52" bestFit="1" customWidth="1"/>
    <col min="8455" max="8455" width="10.28515625" style="52" bestFit="1" customWidth="1"/>
    <col min="8456" max="8456" width="8.28515625" style="52" customWidth="1"/>
    <col min="8457" max="8457" width="9.42578125" style="52" bestFit="1" customWidth="1"/>
    <col min="8458" max="8704" width="9.140625" style="52"/>
    <col min="8705" max="8705" width="57.140625" style="52" customWidth="1"/>
    <col min="8706" max="8706" width="4.7109375" style="52" customWidth="1"/>
    <col min="8707" max="8707" width="5.28515625" style="52" customWidth="1"/>
    <col min="8708" max="8708" width="3.7109375" style="52" customWidth="1"/>
    <col min="8709" max="8709" width="13.5703125" style="52" customWidth="1"/>
    <col min="8710" max="8710" width="7.42578125" style="52" bestFit="1" customWidth="1"/>
    <col min="8711" max="8711" width="10.28515625" style="52" bestFit="1" customWidth="1"/>
    <col min="8712" max="8712" width="8.28515625" style="52" customWidth="1"/>
    <col min="8713" max="8713" width="9.42578125" style="52" bestFit="1" customWidth="1"/>
    <col min="8714" max="8960" width="9.140625" style="52"/>
    <col min="8961" max="8961" width="57.140625" style="52" customWidth="1"/>
    <col min="8962" max="8962" width="4.7109375" style="52" customWidth="1"/>
    <col min="8963" max="8963" width="5.28515625" style="52" customWidth="1"/>
    <col min="8964" max="8964" width="3.7109375" style="52" customWidth="1"/>
    <col min="8965" max="8965" width="13.5703125" style="52" customWidth="1"/>
    <col min="8966" max="8966" width="7.42578125" style="52" bestFit="1" customWidth="1"/>
    <col min="8967" max="8967" width="10.28515625" style="52" bestFit="1" customWidth="1"/>
    <col min="8968" max="8968" width="8.28515625" style="52" customWidth="1"/>
    <col min="8969" max="8969" width="9.42578125" style="52" bestFit="1" customWidth="1"/>
    <col min="8970" max="9216" width="9.140625" style="52"/>
    <col min="9217" max="9217" width="57.140625" style="52" customWidth="1"/>
    <col min="9218" max="9218" width="4.7109375" style="52" customWidth="1"/>
    <col min="9219" max="9219" width="5.28515625" style="52" customWidth="1"/>
    <col min="9220" max="9220" width="3.7109375" style="52" customWidth="1"/>
    <col min="9221" max="9221" width="13.5703125" style="52" customWidth="1"/>
    <col min="9222" max="9222" width="7.42578125" style="52" bestFit="1" customWidth="1"/>
    <col min="9223" max="9223" width="10.28515625" style="52" bestFit="1" customWidth="1"/>
    <col min="9224" max="9224" width="8.28515625" style="52" customWidth="1"/>
    <col min="9225" max="9225" width="9.42578125" style="52" bestFit="1" customWidth="1"/>
    <col min="9226" max="9472" width="9.140625" style="52"/>
    <col min="9473" max="9473" width="57.140625" style="52" customWidth="1"/>
    <col min="9474" max="9474" width="4.7109375" style="52" customWidth="1"/>
    <col min="9475" max="9475" width="5.28515625" style="52" customWidth="1"/>
    <col min="9476" max="9476" width="3.7109375" style="52" customWidth="1"/>
    <col min="9477" max="9477" width="13.5703125" style="52" customWidth="1"/>
    <col min="9478" max="9478" width="7.42578125" style="52" bestFit="1" customWidth="1"/>
    <col min="9479" max="9479" width="10.28515625" style="52" bestFit="1" customWidth="1"/>
    <col min="9480" max="9480" width="8.28515625" style="52" customWidth="1"/>
    <col min="9481" max="9481" width="9.42578125" style="52" bestFit="1" customWidth="1"/>
    <col min="9482" max="9728" width="9.140625" style="52"/>
    <col min="9729" max="9729" width="57.140625" style="52" customWidth="1"/>
    <col min="9730" max="9730" width="4.7109375" style="52" customWidth="1"/>
    <col min="9731" max="9731" width="5.28515625" style="52" customWidth="1"/>
    <col min="9732" max="9732" width="3.7109375" style="52" customWidth="1"/>
    <col min="9733" max="9733" width="13.5703125" style="52" customWidth="1"/>
    <col min="9734" max="9734" width="7.42578125" style="52" bestFit="1" customWidth="1"/>
    <col min="9735" max="9735" width="10.28515625" style="52" bestFit="1" customWidth="1"/>
    <col min="9736" max="9736" width="8.28515625" style="52" customWidth="1"/>
    <col min="9737" max="9737" width="9.42578125" style="52" bestFit="1" customWidth="1"/>
    <col min="9738" max="9984" width="9.140625" style="52"/>
    <col min="9985" max="9985" width="57.140625" style="52" customWidth="1"/>
    <col min="9986" max="9986" width="4.7109375" style="52" customWidth="1"/>
    <col min="9987" max="9987" width="5.28515625" style="52" customWidth="1"/>
    <col min="9988" max="9988" width="3.7109375" style="52" customWidth="1"/>
    <col min="9989" max="9989" width="13.5703125" style="52" customWidth="1"/>
    <col min="9990" max="9990" width="7.42578125" style="52" bestFit="1" customWidth="1"/>
    <col min="9991" max="9991" width="10.28515625" style="52" bestFit="1" customWidth="1"/>
    <col min="9992" max="9992" width="8.28515625" style="52" customWidth="1"/>
    <col min="9993" max="9993" width="9.42578125" style="52" bestFit="1" customWidth="1"/>
    <col min="9994" max="10240" width="9.140625" style="52"/>
    <col min="10241" max="10241" width="57.140625" style="52" customWidth="1"/>
    <col min="10242" max="10242" width="4.7109375" style="52" customWidth="1"/>
    <col min="10243" max="10243" width="5.28515625" style="52" customWidth="1"/>
    <col min="10244" max="10244" width="3.7109375" style="52" customWidth="1"/>
    <col min="10245" max="10245" width="13.5703125" style="52" customWidth="1"/>
    <col min="10246" max="10246" width="7.42578125" style="52" bestFit="1" customWidth="1"/>
    <col min="10247" max="10247" width="10.28515625" style="52" bestFit="1" customWidth="1"/>
    <col min="10248" max="10248" width="8.28515625" style="52" customWidth="1"/>
    <col min="10249" max="10249" width="9.42578125" style="52" bestFit="1" customWidth="1"/>
    <col min="10250" max="10496" width="9.140625" style="52"/>
    <col min="10497" max="10497" width="57.140625" style="52" customWidth="1"/>
    <col min="10498" max="10498" width="4.7109375" style="52" customWidth="1"/>
    <col min="10499" max="10499" width="5.28515625" style="52" customWidth="1"/>
    <col min="10500" max="10500" width="3.7109375" style="52" customWidth="1"/>
    <col min="10501" max="10501" width="13.5703125" style="52" customWidth="1"/>
    <col min="10502" max="10502" width="7.42578125" style="52" bestFit="1" customWidth="1"/>
    <col min="10503" max="10503" width="10.28515625" style="52" bestFit="1" customWidth="1"/>
    <col min="10504" max="10504" width="8.28515625" style="52" customWidth="1"/>
    <col min="10505" max="10505" width="9.42578125" style="52" bestFit="1" customWidth="1"/>
    <col min="10506" max="10752" width="9.140625" style="52"/>
    <col min="10753" max="10753" width="57.140625" style="52" customWidth="1"/>
    <col min="10754" max="10754" width="4.7109375" style="52" customWidth="1"/>
    <col min="10755" max="10755" width="5.28515625" style="52" customWidth="1"/>
    <col min="10756" max="10756" width="3.7109375" style="52" customWidth="1"/>
    <col min="10757" max="10757" width="13.5703125" style="52" customWidth="1"/>
    <col min="10758" max="10758" width="7.42578125" style="52" bestFit="1" customWidth="1"/>
    <col min="10759" max="10759" width="10.28515625" style="52" bestFit="1" customWidth="1"/>
    <col min="10760" max="10760" width="8.28515625" style="52" customWidth="1"/>
    <col min="10761" max="10761" width="9.42578125" style="52" bestFit="1" customWidth="1"/>
    <col min="10762" max="11008" width="9.140625" style="52"/>
    <col min="11009" max="11009" width="57.140625" style="52" customWidth="1"/>
    <col min="11010" max="11010" width="4.7109375" style="52" customWidth="1"/>
    <col min="11011" max="11011" width="5.28515625" style="52" customWidth="1"/>
    <col min="11012" max="11012" width="3.7109375" style="52" customWidth="1"/>
    <col min="11013" max="11013" width="13.5703125" style="52" customWidth="1"/>
    <col min="11014" max="11014" width="7.42578125" style="52" bestFit="1" customWidth="1"/>
    <col min="11015" max="11015" width="10.28515625" style="52" bestFit="1" customWidth="1"/>
    <col min="11016" max="11016" width="8.28515625" style="52" customWidth="1"/>
    <col min="11017" max="11017" width="9.42578125" style="52" bestFit="1" customWidth="1"/>
    <col min="11018" max="11264" width="9.140625" style="52"/>
    <col min="11265" max="11265" width="57.140625" style="52" customWidth="1"/>
    <col min="11266" max="11266" width="4.7109375" style="52" customWidth="1"/>
    <col min="11267" max="11267" width="5.28515625" style="52" customWidth="1"/>
    <col min="11268" max="11268" width="3.7109375" style="52" customWidth="1"/>
    <col min="11269" max="11269" width="13.5703125" style="52" customWidth="1"/>
    <col min="11270" max="11270" width="7.42578125" style="52" bestFit="1" customWidth="1"/>
    <col min="11271" max="11271" width="10.28515625" style="52" bestFit="1" customWidth="1"/>
    <col min="11272" max="11272" width="8.28515625" style="52" customWidth="1"/>
    <col min="11273" max="11273" width="9.42578125" style="52" bestFit="1" customWidth="1"/>
    <col min="11274" max="11520" width="9.140625" style="52"/>
    <col min="11521" max="11521" width="57.140625" style="52" customWidth="1"/>
    <col min="11522" max="11522" width="4.7109375" style="52" customWidth="1"/>
    <col min="11523" max="11523" width="5.28515625" style="52" customWidth="1"/>
    <col min="11524" max="11524" width="3.7109375" style="52" customWidth="1"/>
    <col min="11525" max="11525" width="13.5703125" style="52" customWidth="1"/>
    <col min="11526" max="11526" width="7.42578125" style="52" bestFit="1" customWidth="1"/>
    <col min="11527" max="11527" width="10.28515625" style="52" bestFit="1" customWidth="1"/>
    <col min="11528" max="11528" width="8.28515625" style="52" customWidth="1"/>
    <col min="11529" max="11529" width="9.42578125" style="52" bestFit="1" customWidth="1"/>
    <col min="11530" max="11776" width="9.140625" style="52"/>
    <col min="11777" max="11777" width="57.140625" style="52" customWidth="1"/>
    <col min="11778" max="11778" width="4.7109375" style="52" customWidth="1"/>
    <col min="11779" max="11779" width="5.28515625" style="52" customWidth="1"/>
    <col min="11780" max="11780" width="3.7109375" style="52" customWidth="1"/>
    <col min="11781" max="11781" width="13.5703125" style="52" customWidth="1"/>
    <col min="11782" max="11782" width="7.42578125" style="52" bestFit="1" customWidth="1"/>
    <col min="11783" max="11783" width="10.28515625" style="52" bestFit="1" customWidth="1"/>
    <col min="11784" max="11784" width="8.28515625" style="52" customWidth="1"/>
    <col min="11785" max="11785" width="9.42578125" style="52" bestFit="1" customWidth="1"/>
    <col min="11786" max="12032" width="9.140625" style="52"/>
    <col min="12033" max="12033" width="57.140625" style="52" customWidth="1"/>
    <col min="12034" max="12034" width="4.7109375" style="52" customWidth="1"/>
    <col min="12035" max="12035" width="5.28515625" style="52" customWidth="1"/>
    <col min="12036" max="12036" width="3.7109375" style="52" customWidth="1"/>
    <col min="12037" max="12037" width="13.5703125" style="52" customWidth="1"/>
    <col min="12038" max="12038" width="7.42578125" style="52" bestFit="1" customWidth="1"/>
    <col min="12039" max="12039" width="10.28515625" style="52" bestFit="1" customWidth="1"/>
    <col min="12040" max="12040" width="8.28515625" style="52" customWidth="1"/>
    <col min="12041" max="12041" width="9.42578125" style="52" bestFit="1" customWidth="1"/>
    <col min="12042" max="12288" width="9.140625" style="52"/>
    <col min="12289" max="12289" width="57.140625" style="52" customWidth="1"/>
    <col min="12290" max="12290" width="4.7109375" style="52" customWidth="1"/>
    <col min="12291" max="12291" width="5.28515625" style="52" customWidth="1"/>
    <col min="12292" max="12292" width="3.7109375" style="52" customWidth="1"/>
    <col min="12293" max="12293" width="13.5703125" style="52" customWidth="1"/>
    <col min="12294" max="12294" width="7.42578125" style="52" bestFit="1" customWidth="1"/>
    <col min="12295" max="12295" width="10.28515625" style="52" bestFit="1" customWidth="1"/>
    <col min="12296" max="12296" width="8.28515625" style="52" customWidth="1"/>
    <col min="12297" max="12297" width="9.42578125" style="52" bestFit="1" customWidth="1"/>
    <col min="12298" max="12544" width="9.140625" style="52"/>
    <col min="12545" max="12545" width="57.140625" style="52" customWidth="1"/>
    <col min="12546" max="12546" width="4.7109375" style="52" customWidth="1"/>
    <col min="12547" max="12547" width="5.28515625" style="52" customWidth="1"/>
    <col min="12548" max="12548" width="3.7109375" style="52" customWidth="1"/>
    <col min="12549" max="12549" width="13.5703125" style="52" customWidth="1"/>
    <col min="12550" max="12550" width="7.42578125" style="52" bestFit="1" customWidth="1"/>
    <col min="12551" max="12551" width="10.28515625" style="52" bestFit="1" customWidth="1"/>
    <col min="12552" max="12552" width="8.28515625" style="52" customWidth="1"/>
    <col min="12553" max="12553" width="9.42578125" style="52" bestFit="1" customWidth="1"/>
    <col min="12554" max="12800" width="9.140625" style="52"/>
    <col min="12801" max="12801" width="57.140625" style="52" customWidth="1"/>
    <col min="12802" max="12802" width="4.7109375" style="52" customWidth="1"/>
    <col min="12803" max="12803" width="5.28515625" style="52" customWidth="1"/>
    <col min="12804" max="12804" width="3.7109375" style="52" customWidth="1"/>
    <col min="12805" max="12805" width="13.5703125" style="52" customWidth="1"/>
    <col min="12806" max="12806" width="7.42578125" style="52" bestFit="1" customWidth="1"/>
    <col min="12807" max="12807" width="10.28515625" style="52" bestFit="1" customWidth="1"/>
    <col min="12808" max="12808" width="8.28515625" style="52" customWidth="1"/>
    <col min="12809" max="12809" width="9.42578125" style="52" bestFit="1" customWidth="1"/>
    <col min="12810" max="13056" width="9.140625" style="52"/>
    <col min="13057" max="13057" width="57.140625" style="52" customWidth="1"/>
    <col min="13058" max="13058" width="4.7109375" style="52" customWidth="1"/>
    <col min="13059" max="13059" width="5.28515625" style="52" customWidth="1"/>
    <col min="13060" max="13060" width="3.7109375" style="52" customWidth="1"/>
    <col min="13061" max="13061" width="13.5703125" style="52" customWidth="1"/>
    <col min="13062" max="13062" width="7.42578125" style="52" bestFit="1" customWidth="1"/>
    <col min="13063" max="13063" width="10.28515625" style="52" bestFit="1" customWidth="1"/>
    <col min="13064" max="13064" width="8.28515625" style="52" customWidth="1"/>
    <col min="13065" max="13065" width="9.42578125" style="52" bestFit="1" customWidth="1"/>
    <col min="13066" max="13312" width="9.140625" style="52"/>
    <col min="13313" max="13313" width="57.140625" style="52" customWidth="1"/>
    <col min="13314" max="13314" width="4.7109375" style="52" customWidth="1"/>
    <col min="13315" max="13315" width="5.28515625" style="52" customWidth="1"/>
    <col min="13316" max="13316" width="3.7109375" style="52" customWidth="1"/>
    <col min="13317" max="13317" width="13.5703125" style="52" customWidth="1"/>
    <col min="13318" max="13318" width="7.42578125" style="52" bestFit="1" customWidth="1"/>
    <col min="13319" max="13319" width="10.28515625" style="52" bestFit="1" customWidth="1"/>
    <col min="13320" max="13320" width="8.28515625" style="52" customWidth="1"/>
    <col min="13321" max="13321" width="9.42578125" style="52" bestFit="1" customWidth="1"/>
    <col min="13322" max="13568" width="9.140625" style="52"/>
    <col min="13569" max="13569" width="57.140625" style="52" customWidth="1"/>
    <col min="13570" max="13570" width="4.7109375" style="52" customWidth="1"/>
    <col min="13571" max="13571" width="5.28515625" style="52" customWidth="1"/>
    <col min="13572" max="13572" width="3.7109375" style="52" customWidth="1"/>
    <col min="13573" max="13573" width="13.5703125" style="52" customWidth="1"/>
    <col min="13574" max="13574" width="7.42578125" style="52" bestFit="1" customWidth="1"/>
    <col min="13575" max="13575" width="10.28515625" style="52" bestFit="1" customWidth="1"/>
    <col min="13576" max="13576" width="8.28515625" style="52" customWidth="1"/>
    <col min="13577" max="13577" width="9.42578125" style="52" bestFit="1" customWidth="1"/>
    <col min="13578" max="13824" width="9.140625" style="52"/>
    <col min="13825" max="13825" width="57.140625" style="52" customWidth="1"/>
    <col min="13826" max="13826" width="4.7109375" style="52" customWidth="1"/>
    <col min="13827" max="13827" width="5.28515625" style="52" customWidth="1"/>
    <col min="13828" max="13828" width="3.7109375" style="52" customWidth="1"/>
    <col min="13829" max="13829" width="13.5703125" style="52" customWidth="1"/>
    <col min="13830" max="13830" width="7.42578125" style="52" bestFit="1" customWidth="1"/>
    <col min="13831" max="13831" width="10.28515625" style="52" bestFit="1" customWidth="1"/>
    <col min="13832" max="13832" width="8.28515625" style="52" customWidth="1"/>
    <col min="13833" max="13833" width="9.42578125" style="52" bestFit="1" customWidth="1"/>
    <col min="13834" max="14080" width="9.140625" style="52"/>
    <col min="14081" max="14081" width="57.140625" style="52" customWidth="1"/>
    <col min="14082" max="14082" width="4.7109375" style="52" customWidth="1"/>
    <col min="14083" max="14083" width="5.28515625" style="52" customWidth="1"/>
    <col min="14084" max="14084" width="3.7109375" style="52" customWidth="1"/>
    <col min="14085" max="14085" width="13.5703125" style="52" customWidth="1"/>
    <col min="14086" max="14086" width="7.42578125" style="52" bestFit="1" customWidth="1"/>
    <col min="14087" max="14087" width="10.28515625" style="52" bestFit="1" customWidth="1"/>
    <col min="14088" max="14088" width="8.28515625" style="52" customWidth="1"/>
    <col min="14089" max="14089" width="9.42578125" style="52" bestFit="1" customWidth="1"/>
    <col min="14090" max="14336" width="9.140625" style="52"/>
    <col min="14337" max="14337" width="57.140625" style="52" customWidth="1"/>
    <col min="14338" max="14338" width="4.7109375" style="52" customWidth="1"/>
    <col min="14339" max="14339" width="5.28515625" style="52" customWidth="1"/>
    <col min="14340" max="14340" width="3.7109375" style="52" customWidth="1"/>
    <col min="14341" max="14341" width="13.5703125" style="52" customWidth="1"/>
    <col min="14342" max="14342" width="7.42578125" style="52" bestFit="1" customWidth="1"/>
    <col min="14343" max="14343" width="10.28515625" style="52" bestFit="1" customWidth="1"/>
    <col min="14344" max="14344" width="8.28515625" style="52" customWidth="1"/>
    <col min="14345" max="14345" width="9.42578125" style="52" bestFit="1" customWidth="1"/>
    <col min="14346" max="14592" width="9.140625" style="52"/>
    <col min="14593" max="14593" width="57.140625" style="52" customWidth="1"/>
    <col min="14594" max="14594" width="4.7109375" style="52" customWidth="1"/>
    <col min="14595" max="14595" width="5.28515625" style="52" customWidth="1"/>
    <col min="14596" max="14596" width="3.7109375" style="52" customWidth="1"/>
    <col min="14597" max="14597" width="13.5703125" style="52" customWidth="1"/>
    <col min="14598" max="14598" width="7.42578125" style="52" bestFit="1" customWidth="1"/>
    <col min="14599" max="14599" width="10.28515625" style="52" bestFit="1" customWidth="1"/>
    <col min="14600" max="14600" width="8.28515625" style="52" customWidth="1"/>
    <col min="14601" max="14601" width="9.42578125" style="52" bestFit="1" customWidth="1"/>
    <col min="14602" max="14848" width="9.140625" style="52"/>
    <col min="14849" max="14849" width="57.140625" style="52" customWidth="1"/>
    <col min="14850" max="14850" width="4.7109375" style="52" customWidth="1"/>
    <col min="14851" max="14851" width="5.28515625" style="52" customWidth="1"/>
    <col min="14852" max="14852" width="3.7109375" style="52" customWidth="1"/>
    <col min="14853" max="14853" width="13.5703125" style="52" customWidth="1"/>
    <col min="14854" max="14854" width="7.42578125" style="52" bestFit="1" customWidth="1"/>
    <col min="14855" max="14855" width="10.28515625" style="52" bestFit="1" customWidth="1"/>
    <col min="14856" max="14856" width="8.28515625" style="52" customWidth="1"/>
    <col min="14857" max="14857" width="9.42578125" style="52" bestFit="1" customWidth="1"/>
    <col min="14858" max="15104" width="9.140625" style="52"/>
    <col min="15105" max="15105" width="57.140625" style="52" customWidth="1"/>
    <col min="15106" max="15106" width="4.7109375" style="52" customWidth="1"/>
    <col min="15107" max="15107" width="5.28515625" style="52" customWidth="1"/>
    <col min="15108" max="15108" width="3.7109375" style="52" customWidth="1"/>
    <col min="15109" max="15109" width="13.5703125" style="52" customWidth="1"/>
    <col min="15110" max="15110" width="7.42578125" style="52" bestFit="1" customWidth="1"/>
    <col min="15111" max="15111" width="10.28515625" style="52" bestFit="1" customWidth="1"/>
    <col min="15112" max="15112" width="8.28515625" style="52" customWidth="1"/>
    <col min="15113" max="15113" width="9.42578125" style="52" bestFit="1" customWidth="1"/>
    <col min="15114" max="15360" width="9.140625" style="52"/>
    <col min="15361" max="15361" width="57.140625" style="52" customWidth="1"/>
    <col min="15362" max="15362" width="4.7109375" style="52" customWidth="1"/>
    <col min="15363" max="15363" width="5.28515625" style="52" customWidth="1"/>
    <col min="15364" max="15364" width="3.7109375" style="52" customWidth="1"/>
    <col min="15365" max="15365" width="13.5703125" style="52" customWidth="1"/>
    <col min="15366" max="15366" width="7.42578125" style="52" bestFit="1" customWidth="1"/>
    <col min="15367" max="15367" width="10.28515625" style="52" bestFit="1" customWidth="1"/>
    <col min="15368" max="15368" width="8.28515625" style="52" customWidth="1"/>
    <col min="15369" max="15369" width="9.42578125" style="52" bestFit="1" customWidth="1"/>
    <col min="15370" max="15616" width="9.140625" style="52"/>
    <col min="15617" max="15617" width="57.140625" style="52" customWidth="1"/>
    <col min="15618" max="15618" width="4.7109375" style="52" customWidth="1"/>
    <col min="15619" max="15619" width="5.28515625" style="52" customWidth="1"/>
    <col min="15620" max="15620" width="3.7109375" style="52" customWidth="1"/>
    <col min="15621" max="15621" width="13.5703125" style="52" customWidth="1"/>
    <col min="15622" max="15622" width="7.42578125" style="52" bestFit="1" customWidth="1"/>
    <col min="15623" max="15623" width="10.28515625" style="52" bestFit="1" customWidth="1"/>
    <col min="15624" max="15624" width="8.28515625" style="52" customWidth="1"/>
    <col min="15625" max="15625" width="9.42578125" style="52" bestFit="1" customWidth="1"/>
    <col min="15626" max="15872" width="9.140625" style="52"/>
    <col min="15873" max="15873" width="57.140625" style="52" customWidth="1"/>
    <col min="15874" max="15874" width="4.7109375" style="52" customWidth="1"/>
    <col min="15875" max="15875" width="5.28515625" style="52" customWidth="1"/>
    <col min="15876" max="15876" width="3.7109375" style="52" customWidth="1"/>
    <col min="15877" max="15877" width="13.5703125" style="52" customWidth="1"/>
    <col min="15878" max="15878" width="7.42578125" style="52" bestFit="1" customWidth="1"/>
    <col min="15879" max="15879" width="10.28515625" style="52" bestFit="1" customWidth="1"/>
    <col min="15880" max="15880" width="8.28515625" style="52" customWidth="1"/>
    <col min="15881" max="15881" width="9.42578125" style="52" bestFit="1" customWidth="1"/>
    <col min="15882" max="16128" width="9.140625" style="52"/>
    <col min="16129" max="16129" width="57.140625" style="52" customWidth="1"/>
    <col min="16130" max="16130" width="4.7109375" style="52" customWidth="1"/>
    <col min="16131" max="16131" width="5.28515625" style="52" customWidth="1"/>
    <col min="16132" max="16132" width="3.7109375" style="52" customWidth="1"/>
    <col min="16133" max="16133" width="13.5703125" style="52" customWidth="1"/>
    <col min="16134" max="16134" width="7.42578125" style="52" bestFit="1" customWidth="1"/>
    <col min="16135" max="16135" width="10.28515625" style="52" bestFit="1" customWidth="1"/>
    <col min="16136" max="16136" width="8.28515625" style="52" customWidth="1"/>
    <col min="16137" max="16137" width="9.42578125" style="52" bestFit="1" customWidth="1"/>
    <col min="16138" max="16384" width="9.140625" style="52"/>
  </cols>
  <sheetData>
    <row r="1" spans="1:11" ht="12.75" customHeight="1" x14ac:dyDescent="0.2">
      <c r="A1" s="51"/>
      <c r="B1" s="449" t="s">
        <v>775</v>
      </c>
      <c r="C1" s="449"/>
      <c r="D1" s="449"/>
      <c r="E1" s="449"/>
      <c r="F1" s="449"/>
      <c r="G1" s="449"/>
      <c r="H1" s="160"/>
    </row>
    <row r="2" spans="1:11" ht="12.75" customHeight="1" x14ac:dyDescent="0.2">
      <c r="A2" s="51"/>
      <c r="B2" s="449" t="s">
        <v>105</v>
      </c>
      <c r="C2" s="449"/>
      <c r="D2" s="449"/>
      <c r="E2" s="449"/>
      <c r="F2" s="449"/>
      <c r="G2" s="449"/>
    </row>
    <row r="3" spans="1:11" ht="12.75" customHeight="1" x14ac:dyDescent="0.2">
      <c r="A3" s="51"/>
      <c r="B3" s="449" t="s">
        <v>106</v>
      </c>
      <c r="C3" s="449"/>
      <c r="D3" s="449"/>
      <c r="E3" s="449"/>
      <c r="F3" s="449"/>
      <c r="G3" s="449"/>
      <c r="H3" s="160"/>
    </row>
    <row r="4" spans="1:11" ht="12.75" customHeight="1" x14ac:dyDescent="0.2">
      <c r="A4" s="51"/>
      <c r="B4" s="449" t="s">
        <v>107</v>
      </c>
      <c r="C4" s="449"/>
      <c r="D4" s="449"/>
      <c r="E4" s="449"/>
      <c r="F4" s="449"/>
      <c r="G4" s="449"/>
      <c r="H4" s="160"/>
    </row>
    <row r="5" spans="1:11" ht="12.75" customHeight="1" x14ac:dyDescent="0.2">
      <c r="A5" s="51"/>
      <c r="B5" s="449" t="s">
        <v>502</v>
      </c>
      <c r="C5" s="449"/>
      <c r="D5" s="449"/>
      <c r="E5" s="449"/>
      <c r="F5" s="449"/>
      <c r="G5" s="449"/>
      <c r="H5" s="160"/>
    </row>
    <row r="6" spans="1:11" ht="12.75" customHeight="1" x14ac:dyDescent="0.2">
      <c r="A6" s="51"/>
      <c r="B6" s="449" t="s">
        <v>108</v>
      </c>
      <c r="C6" s="449"/>
      <c r="D6" s="449"/>
      <c r="E6" s="449"/>
      <c r="F6" s="449"/>
      <c r="G6" s="449"/>
      <c r="H6" s="160"/>
    </row>
    <row r="7" spans="1:11" ht="12.75" customHeight="1" x14ac:dyDescent="0.2">
      <c r="A7" s="51"/>
      <c r="B7" s="449" t="s">
        <v>107</v>
      </c>
      <c r="C7" s="449"/>
      <c r="D7" s="449"/>
      <c r="E7" s="449"/>
      <c r="F7" s="449"/>
      <c r="G7" s="449"/>
      <c r="H7" s="162"/>
    </row>
    <row r="8" spans="1:11" ht="12.75" customHeight="1" x14ac:dyDescent="0.2">
      <c r="A8" s="51"/>
      <c r="B8" s="449" t="s">
        <v>503</v>
      </c>
      <c r="C8" s="449"/>
      <c r="D8" s="449"/>
      <c r="E8" s="449"/>
      <c r="F8" s="449"/>
      <c r="G8" s="449"/>
      <c r="H8" s="160"/>
    </row>
    <row r="9" spans="1:11" x14ac:dyDescent="0.2">
      <c r="A9" s="51"/>
      <c r="B9" s="450"/>
      <c r="C9" s="450"/>
      <c r="D9" s="450"/>
      <c r="E9" s="450"/>
      <c r="F9" s="450"/>
      <c r="G9" s="450"/>
      <c r="H9" s="163"/>
    </row>
    <row r="10" spans="1:11" x14ac:dyDescent="0.2">
      <c r="C10" s="57"/>
      <c r="D10" s="58"/>
      <c r="E10" s="57"/>
      <c r="F10" s="57"/>
      <c r="G10" s="54"/>
      <c r="H10" s="163"/>
    </row>
    <row r="11" spans="1:11" x14ac:dyDescent="0.2">
      <c r="A11" s="451" t="s">
        <v>501</v>
      </c>
      <c r="B11" s="451"/>
      <c r="C11" s="451"/>
      <c r="D11" s="451"/>
      <c r="E11" s="451"/>
      <c r="F11" s="451"/>
      <c r="G11" s="451"/>
      <c r="H11" s="164"/>
    </row>
    <row r="12" spans="1:11" x14ac:dyDescent="0.2">
      <c r="A12" s="59"/>
      <c r="G12" s="54" t="s">
        <v>109</v>
      </c>
      <c r="H12" s="163"/>
    </row>
    <row r="13" spans="1:11" ht="22.5" x14ac:dyDescent="0.2">
      <c r="A13" s="84" t="s">
        <v>110</v>
      </c>
      <c r="B13" s="67" t="s">
        <v>111</v>
      </c>
      <c r="C13" s="68" t="s">
        <v>112</v>
      </c>
      <c r="D13" s="67" t="s">
        <v>113</v>
      </c>
      <c r="E13" s="68" t="s">
        <v>114</v>
      </c>
      <c r="F13" s="68" t="s">
        <v>115</v>
      </c>
      <c r="G13" s="130" t="s">
        <v>101</v>
      </c>
      <c r="H13" s="164"/>
    </row>
    <row r="14" spans="1:11" ht="18.75" customHeight="1" x14ac:dyDescent="0.25">
      <c r="A14" s="61" t="s">
        <v>116</v>
      </c>
      <c r="B14" s="95"/>
      <c r="C14" s="217"/>
      <c r="D14" s="95"/>
      <c r="E14" s="217"/>
      <c r="F14" s="217"/>
      <c r="G14" s="138">
        <f>G15+G83+G161+G301+G353+G410+G617+G639</f>
        <v>498523.40000000008</v>
      </c>
      <c r="H14" s="165">
        <v>498523.4</v>
      </c>
      <c r="I14" s="210">
        <f>H14-G14</f>
        <v>0</v>
      </c>
      <c r="K14" s="148"/>
    </row>
    <row r="15" spans="1:11" ht="32.25" customHeight="1" x14ac:dyDescent="0.2">
      <c r="A15" s="112" t="s">
        <v>117</v>
      </c>
      <c r="B15" s="108" t="s">
        <v>118</v>
      </c>
      <c r="C15" s="127"/>
      <c r="D15" s="108"/>
      <c r="E15" s="127"/>
      <c r="F15" s="127"/>
      <c r="G15" s="132">
        <f>G16+G28</f>
        <v>52175.199999999997</v>
      </c>
      <c r="H15" s="231"/>
      <c r="I15" s="233"/>
    </row>
    <row r="16" spans="1:11" ht="14.25" customHeight="1" x14ac:dyDescent="0.2">
      <c r="A16" s="98" t="s">
        <v>241</v>
      </c>
      <c r="B16" s="106" t="s">
        <v>118</v>
      </c>
      <c r="C16" s="99" t="s">
        <v>242</v>
      </c>
      <c r="D16" s="99"/>
      <c r="E16" s="121"/>
      <c r="F16" s="121"/>
      <c r="G16" s="133">
        <f>G17</f>
        <v>12957</v>
      </c>
      <c r="H16" s="166"/>
      <c r="I16" s="148"/>
    </row>
    <row r="17" spans="1:9" ht="14.25" customHeight="1" x14ac:dyDescent="0.2">
      <c r="A17" s="116" t="s">
        <v>447</v>
      </c>
      <c r="B17" s="106" t="s">
        <v>118</v>
      </c>
      <c r="C17" s="97" t="s">
        <v>242</v>
      </c>
      <c r="D17" s="99" t="s">
        <v>188</v>
      </c>
      <c r="E17" s="97"/>
      <c r="F17" s="97"/>
      <c r="G17" s="133">
        <f>G18+G23</f>
        <v>12957</v>
      </c>
      <c r="H17" s="171"/>
      <c r="I17" s="211"/>
    </row>
    <row r="18" spans="1:9" ht="14.25" customHeight="1" x14ac:dyDescent="0.2">
      <c r="A18" s="100" t="s">
        <v>448</v>
      </c>
      <c r="B18" s="111" t="s">
        <v>118</v>
      </c>
      <c r="C18" s="102" t="s">
        <v>242</v>
      </c>
      <c r="D18" s="104" t="s">
        <v>188</v>
      </c>
      <c r="E18" s="102" t="s">
        <v>449</v>
      </c>
      <c r="F18" s="102" t="s">
        <v>184</v>
      </c>
      <c r="G18" s="134">
        <f>G19</f>
        <v>12877.8</v>
      </c>
      <c r="H18" s="166"/>
      <c r="I18" s="148"/>
    </row>
    <row r="19" spans="1:9" ht="16.5" customHeight="1" x14ac:dyDescent="0.2">
      <c r="A19" s="83" t="s">
        <v>450</v>
      </c>
      <c r="B19" s="105" t="s">
        <v>118</v>
      </c>
      <c r="C19" s="84" t="s">
        <v>242</v>
      </c>
      <c r="D19" s="87" t="s">
        <v>188</v>
      </c>
      <c r="E19" s="84" t="s">
        <v>451</v>
      </c>
      <c r="F19" s="84" t="s">
        <v>184</v>
      </c>
      <c r="G19" s="135">
        <f>G20</f>
        <v>12877.8</v>
      </c>
      <c r="H19" s="166"/>
      <c r="I19" s="148"/>
    </row>
    <row r="20" spans="1:9" ht="18" customHeight="1" x14ac:dyDescent="0.2">
      <c r="A20" s="83" t="s">
        <v>129</v>
      </c>
      <c r="B20" s="105" t="s">
        <v>118</v>
      </c>
      <c r="C20" s="84" t="s">
        <v>242</v>
      </c>
      <c r="D20" s="87" t="s">
        <v>188</v>
      </c>
      <c r="E20" s="84" t="s">
        <v>451</v>
      </c>
      <c r="F20" s="84">
        <v>600</v>
      </c>
      <c r="G20" s="135">
        <f>G21</f>
        <v>12877.8</v>
      </c>
      <c r="H20" s="166"/>
      <c r="I20" s="148"/>
    </row>
    <row r="21" spans="1:9" ht="14.25" customHeight="1" x14ac:dyDescent="0.2">
      <c r="A21" s="83" t="s">
        <v>131</v>
      </c>
      <c r="B21" s="105" t="s">
        <v>118</v>
      </c>
      <c r="C21" s="84" t="s">
        <v>242</v>
      </c>
      <c r="D21" s="87" t="s">
        <v>188</v>
      </c>
      <c r="E21" s="84" t="s">
        <v>451</v>
      </c>
      <c r="F21" s="84">
        <v>610</v>
      </c>
      <c r="G21" s="135">
        <f>G22</f>
        <v>12877.8</v>
      </c>
      <c r="H21" s="166"/>
      <c r="I21" s="148"/>
    </row>
    <row r="22" spans="1:9" ht="18" customHeight="1" x14ac:dyDescent="0.2">
      <c r="A22" s="83" t="s">
        <v>567</v>
      </c>
      <c r="B22" s="105" t="s">
        <v>118</v>
      </c>
      <c r="C22" s="84" t="s">
        <v>242</v>
      </c>
      <c r="D22" s="87" t="s">
        <v>188</v>
      </c>
      <c r="E22" s="84" t="s">
        <v>451</v>
      </c>
      <c r="F22" s="84">
        <v>611</v>
      </c>
      <c r="G22" s="135">
        <v>12877.8</v>
      </c>
      <c r="H22" s="166"/>
      <c r="I22" s="148"/>
    </row>
    <row r="23" spans="1:9" ht="29.25" customHeight="1" x14ac:dyDescent="0.2">
      <c r="A23" s="83" t="s">
        <v>250</v>
      </c>
      <c r="B23" s="105" t="s">
        <v>118</v>
      </c>
      <c r="C23" s="84" t="s">
        <v>242</v>
      </c>
      <c r="D23" s="87" t="s">
        <v>188</v>
      </c>
      <c r="E23" s="84" t="s">
        <v>251</v>
      </c>
      <c r="F23" s="84"/>
      <c r="G23" s="135">
        <f>G24</f>
        <v>79.2</v>
      </c>
      <c r="H23" s="166"/>
      <c r="I23" s="148"/>
    </row>
    <row r="24" spans="1:9" ht="22.5" customHeight="1" x14ac:dyDescent="0.2">
      <c r="A24" s="331" t="s">
        <v>663</v>
      </c>
      <c r="B24" s="332" t="s">
        <v>118</v>
      </c>
      <c r="C24" s="230" t="s">
        <v>242</v>
      </c>
      <c r="D24" s="311" t="s">
        <v>188</v>
      </c>
      <c r="E24" s="230" t="s">
        <v>252</v>
      </c>
      <c r="F24" s="230"/>
      <c r="G24" s="309">
        <f>G25</f>
        <v>79.2</v>
      </c>
      <c r="H24" s="166"/>
      <c r="I24" s="148"/>
    </row>
    <row r="25" spans="1:9" ht="14.25" customHeight="1" x14ac:dyDescent="0.2">
      <c r="A25" s="83" t="s">
        <v>129</v>
      </c>
      <c r="B25" s="105" t="s">
        <v>118</v>
      </c>
      <c r="C25" s="84" t="s">
        <v>242</v>
      </c>
      <c r="D25" s="87" t="s">
        <v>188</v>
      </c>
      <c r="E25" s="84" t="s">
        <v>252</v>
      </c>
      <c r="F25" s="84">
        <v>600</v>
      </c>
      <c r="G25" s="135">
        <f>G27</f>
        <v>79.2</v>
      </c>
      <c r="H25" s="166"/>
      <c r="I25" s="148"/>
    </row>
    <row r="26" spans="1:9" ht="14.25" customHeight="1" x14ac:dyDescent="0.2">
      <c r="A26" s="83" t="s">
        <v>131</v>
      </c>
      <c r="B26" s="105" t="s">
        <v>118</v>
      </c>
      <c r="C26" s="84" t="s">
        <v>242</v>
      </c>
      <c r="D26" s="87" t="s">
        <v>188</v>
      </c>
      <c r="E26" s="84" t="s">
        <v>252</v>
      </c>
      <c r="F26" s="84">
        <v>610</v>
      </c>
      <c r="G26" s="135">
        <f>G27</f>
        <v>79.2</v>
      </c>
      <c r="H26" s="166"/>
      <c r="I26" s="148"/>
    </row>
    <row r="27" spans="1:9" ht="14.25" customHeight="1" x14ac:dyDescent="0.2">
      <c r="A27" s="83" t="s">
        <v>133</v>
      </c>
      <c r="B27" s="105" t="s">
        <v>118</v>
      </c>
      <c r="C27" s="84" t="s">
        <v>242</v>
      </c>
      <c r="D27" s="87" t="s">
        <v>188</v>
      </c>
      <c r="E27" s="84" t="s">
        <v>252</v>
      </c>
      <c r="F27" s="84">
        <v>611</v>
      </c>
      <c r="G27" s="135">
        <v>79.2</v>
      </c>
      <c r="H27" s="166"/>
      <c r="I27" s="148"/>
    </row>
    <row r="28" spans="1:9" x14ac:dyDescent="0.2">
      <c r="A28" s="128" t="s">
        <v>119</v>
      </c>
      <c r="B28" s="106" t="s">
        <v>118</v>
      </c>
      <c r="C28" s="99" t="s">
        <v>120</v>
      </c>
      <c r="D28" s="106"/>
      <c r="E28" s="121"/>
      <c r="F28" s="121"/>
      <c r="G28" s="133">
        <f>G29+G62</f>
        <v>39218.199999999997</v>
      </c>
      <c r="H28" s="166"/>
      <c r="I28" s="148"/>
    </row>
    <row r="29" spans="1:9" x14ac:dyDescent="0.2">
      <c r="A29" s="98" t="s">
        <v>121</v>
      </c>
      <c r="B29" s="106" t="s">
        <v>118</v>
      </c>
      <c r="C29" s="99" t="s">
        <v>120</v>
      </c>
      <c r="D29" s="99" t="s">
        <v>122</v>
      </c>
      <c r="E29" s="97"/>
      <c r="F29" s="97"/>
      <c r="G29" s="133">
        <f>G30+G45</f>
        <v>28966.9</v>
      </c>
      <c r="H29" s="171"/>
      <c r="I29" s="210"/>
    </row>
    <row r="30" spans="1:9" ht="12" customHeight="1" x14ac:dyDescent="0.2">
      <c r="A30" s="98" t="s">
        <v>123</v>
      </c>
      <c r="B30" s="106" t="s">
        <v>118</v>
      </c>
      <c r="C30" s="99" t="s">
        <v>120</v>
      </c>
      <c r="D30" s="99" t="s">
        <v>122</v>
      </c>
      <c r="E30" s="97" t="s">
        <v>124</v>
      </c>
      <c r="F30" s="97"/>
      <c r="G30" s="133">
        <f>G31+G36+G50</f>
        <v>28856.9</v>
      </c>
      <c r="H30" s="166"/>
    </row>
    <row r="31" spans="1:9" x14ac:dyDescent="0.2">
      <c r="A31" s="100" t="s">
        <v>125</v>
      </c>
      <c r="B31" s="111" t="s">
        <v>118</v>
      </c>
      <c r="C31" s="104" t="s">
        <v>120</v>
      </c>
      <c r="D31" s="104" t="s">
        <v>122</v>
      </c>
      <c r="E31" s="102" t="s">
        <v>126</v>
      </c>
      <c r="F31" s="102"/>
      <c r="G31" s="134">
        <f>G32</f>
        <v>10699.4</v>
      </c>
      <c r="H31" s="166"/>
      <c r="I31" s="148"/>
    </row>
    <row r="32" spans="1:9" x14ac:dyDescent="0.2">
      <c r="A32" s="83" t="s">
        <v>127</v>
      </c>
      <c r="B32" s="105" t="s">
        <v>118</v>
      </c>
      <c r="C32" s="87" t="s">
        <v>120</v>
      </c>
      <c r="D32" s="87" t="s">
        <v>122</v>
      </c>
      <c r="E32" s="84" t="s">
        <v>128</v>
      </c>
      <c r="F32" s="84"/>
      <c r="G32" s="135">
        <f>G33</f>
        <v>10699.4</v>
      </c>
      <c r="H32" s="166"/>
    </row>
    <row r="33" spans="1:9" ht="22.5" x14ac:dyDescent="0.2">
      <c r="A33" s="83" t="s">
        <v>129</v>
      </c>
      <c r="B33" s="105" t="s">
        <v>118</v>
      </c>
      <c r="C33" s="84" t="s">
        <v>120</v>
      </c>
      <c r="D33" s="87" t="s">
        <v>122</v>
      </c>
      <c r="E33" s="84" t="s">
        <v>128</v>
      </c>
      <c r="F33" s="84" t="s">
        <v>130</v>
      </c>
      <c r="G33" s="135">
        <f>G34</f>
        <v>10699.4</v>
      </c>
      <c r="H33" s="166"/>
    </row>
    <row r="34" spans="1:9" x14ac:dyDescent="0.2">
      <c r="A34" s="83" t="s">
        <v>131</v>
      </c>
      <c r="B34" s="105" t="s">
        <v>118</v>
      </c>
      <c r="C34" s="84" t="s">
        <v>120</v>
      </c>
      <c r="D34" s="87" t="s">
        <v>122</v>
      </c>
      <c r="E34" s="84" t="s">
        <v>128</v>
      </c>
      <c r="F34" s="84" t="s">
        <v>132</v>
      </c>
      <c r="G34" s="135">
        <f>G35</f>
        <v>10699.4</v>
      </c>
      <c r="H34" s="166"/>
    </row>
    <row r="35" spans="1:9" ht="33.75" x14ac:dyDescent="0.2">
      <c r="A35" s="83" t="s">
        <v>133</v>
      </c>
      <c r="B35" s="105" t="s">
        <v>118</v>
      </c>
      <c r="C35" s="84" t="s">
        <v>120</v>
      </c>
      <c r="D35" s="87" t="s">
        <v>122</v>
      </c>
      <c r="E35" s="84" t="s">
        <v>128</v>
      </c>
      <c r="F35" s="84" t="s">
        <v>134</v>
      </c>
      <c r="G35" s="135">
        <v>10699.4</v>
      </c>
      <c r="H35" s="166"/>
      <c r="I35" s="148"/>
    </row>
    <row r="36" spans="1:9" ht="22.5" x14ac:dyDescent="0.2">
      <c r="A36" s="83" t="s">
        <v>135</v>
      </c>
      <c r="B36" s="105" t="s">
        <v>118</v>
      </c>
      <c r="C36" s="87" t="s">
        <v>120</v>
      </c>
      <c r="D36" s="87" t="s">
        <v>122</v>
      </c>
      <c r="E36" s="84" t="s">
        <v>136</v>
      </c>
      <c r="F36" s="84"/>
      <c r="G36" s="135">
        <f>G37</f>
        <v>17777.5</v>
      </c>
      <c r="H36" s="171"/>
      <c r="I36" s="210"/>
    </row>
    <row r="37" spans="1:9" x14ac:dyDescent="0.2">
      <c r="A37" s="83" t="s">
        <v>137</v>
      </c>
      <c r="B37" s="105" t="s">
        <v>118</v>
      </c>
      <c r="C37" s="87" t="s">
        <v>120</v>
      </c>
      <c r="D37" s="87" t="s">
        <v>122</v>
      </c>
      <c r="E37" s="84" t="s">
        <v>138</v>
      </c>
      <c r="F37" s="84"/>
      <c r="G37" s="135">
        <f>G38+G42</f>
        <v>17777.5</v>
      </c>
      <c r="H37" s="166"/>
    </row>
    <row r="38" spans="1:9" ht="33.75" x14ac:dyDescent="0.2">
      <c r="A38" s="83" t="s">
        <v>139</v>
      </c>
      <c r="B38" s="105" t="s">
        <v>118</v>
      </c>
      <c r="C38" s="87" t="s">
        <v>120</v>
      </c>
      <c r="D38" s="87" t="s">
        <v>122</v>
      </c>
      <c r="E38" s="84" t="s">
        <v>138</v>
      </c>
      <c r="F38" s="84" t="s">
        <v>140</v>
      </c>
      <c r="G38" s="135">
        <f>G39</f>
        <v>2648.3</v>
      </c>
      <c r="H38" s="171"/>
      <c r="I38" s="210"/>
    </row>
    <row r="39" spans="1:9" x14ac:dyDescent="0.2">
      <c r="A39" s="83" t="s">
        <v>141</v>
      </c>
      <c r="B39" s="105" t="s">
        <v>118</v>
      </c>
      <c r="C39" s="87" t="s">
        <v>120</v>
      </c>
      <c r="D39" s="87" t="s">
        <v>122</v>
      </c>
      <c r="E39" s="84" t="s">
        <v>138</v>
      </c>
      <c r="F39" s="84">
        <v>110</v>
      </c>
      <c r="G39" s="135">
        <f>G40+G41</f>
        <v>2648.3</v>
      </c>
      <c r="H39" s="166"/>
    </row>
    <row r="40" spans="1:9" x14ac:dyDescent="0.2">
      <c r="A40" s="83" t="s">
        <v>142</v>
      </c>
      <c r="B40" s="105" t="s">
        <v>118</v>
      </c>
      <c r="C40" s="87" t="s">
        <v>120</v>
      </c>
      <c r="D40" s="87" t="s">
        <v>122</v>
      </c>
      <c r="E40" s="84" t="s">
        <v>138</v>
      </c>
      <c r="F40" s="84">
        <v>111</v>
      </c>
      <c r="G40" s="135">
        <v>2034</v>
      </c>
      <c r="H40" s="167"/>
    </row>
    <row r="41" spans="1:9" ht="22.5" x14ac:dyDescent="0.2">
      <c r="A41" s="114" t="s">
        <v>143</v>
      </c>
      <c r="B41" s="105" t="s">
        <v>118</v>
      </c>
      <c r="C41" s="87" t="s">
        <v>120</v>
      </c>
      <c r="D41" s="87" t="s">
        <v>122</v>
      </c>
      <c r="E41" s="84" t="s">
        <v>138</v>
      </c>
      <c r="F41" s="84">
        <v>119</v>
      </c>
      <c r="G41" s="135">
        <v>614.29999999999995</v>
      </c>
      <c r="H41" s="168"/>
    </row>
    <row r="42" spans="1:9" ht="22.5" x14ac:dyDescent="0.2">
      <c r="A42" s="83" t="s">
        <v>129</v>
      </c>
      <c r="B42" s="105" t="s">
        <v>118</v>
      </c>
      <c r="C42" s="84" t="s">
        <v>120</v>
      </c>
      <c r="D42" s="87" t="s">
        <v>122</v>
      </c>
      <c r="E42" s="84" t="s">
        <v>138</v>
      </c>
      <c r="F42" s="84" t="s">
        <v>130</v>
      </c>
      <c r="G42" s="135">
        <f>G43</f>
        <v>15129.2</v>
      </c>
      <c r="H42" s="167"/>
    </row>
    <row r="43" spans="1:9" x14ac:dyDescent="0.2">
      <c r="A43" s="83" t="s">
        <v>131</v>
      </c>
      <c r="B43" s="105" t="s">
        <v>118</v>
      </c>
      <c r="C43" s="84" t="s">
        <v>120</v>
      </c>
      <c r="D43" s="87" t="s">
        <v>122</v>
      </c>
      <c r="E43" s="84" t="s">
        <v>138</v>
      </c>
      <c r="F43" s="84" t="s">
        <v>132</v>
      </c>
      <c r="G43" s="135">
        <f>G44</f>
        <v>15129.2</v>
      </c>
      <c r="H43" s="167"/>
    </row>
    <row r="44" spans="1:9" ht="33.75" x14ac:dyDescent="0.2">
      <c r="A44" s="83" t="s">
        <v>133</v>
      </c>
      <c r="B44" s="105" t="s">
        <v>118</v>
      </c>
      <c r="C44" s="84" t="s">
        <v>120</v>
      </c>
      <c r="D44" s="87" t="s">
        <v>122</v>
      </c>
      <c r="E44" s="84" t="s">
        <v>138</v>
      </c>
      <c r="F44" s="84" t="s">
        <v>134</v>
      </c>
      <c r="G44" s="135">
        <v>15129.2</v>
      </c>
      <c r="H44" s="167"/>
      <c r="I44" s="148"/>
    </row>
    <row r="45" spans="1:9" x14ac:dyDescent="0.2">
      <c r="A45" s="100" t="s">
        <v>155</v>
      </c>
      <c r="B45" s="104" t="s">
        <v>118</v>
      </c>
      <c r="C45" s="104" t="s">
        <v>120</v>
      </c>
      <c r="D45" s="104" t="s">
        <v>122</v>
      </c>
      <c r="E45" s="226" t="s">
        <v>156</v>
      </c>
      <c r="F45" s="102"/>
      <c r="G45" s="134">
        <f>G46+G58</f>
        <v>110</v>
      </c>
      <c r="H45" s="167"/>
      <c r="I45" s="148"/>
    </row>
    <row r="46" spans="1:9" x14ac:dyDescent="0.2">
      <c r="A46" s="115" t="s">
        <v>157</v>
      </c>
      <c r="B46" s="105" t="s">
        <v>118</v>
      </c>
      <c r="C46" s="87" t="s">
        <v>120</v>
      </c>
      <c r="D46" s="87" t="s">
        <v>122</v>
      </c>
      <c r="E46" s="84" t="s">
        <v>571</v>
      </c>
      <c r="F46" s="84"/>
      <c r="G46" s="135">
        <f>G47</f>
        <v>6.6</v>
      </c>
      <c r="H46" s="167"/>
      <c r="I46" s="148"/>
    </row>
    <row r="47" spans="1:9" ht="33.75" x14ac:dyDescent="0.2">
      <c r="A47" s="83" t="s">
        <v>139</v>
      </c>
      <c r="B47" s="105" t="s">
        <v>118</v>
      </c>
      <c r="C47" s="87" t="s">
        <v>120</v>
      </c>
      <c r="D47" s="87" t="s">
        <v>122</v>
      </c>
      <c r="E47" s="84" t="s">
        <v>158</v>
      </c>
      <c r="F47" s="84">
        <v>100</v>
      </c>
      <c r="G47" s="135">
        <f>G48</f>
        <v>6.6</v>
      </c>
      <c r="H47" s="167"/>
      <c r="I47" s="148"/>
    </row>
    <row r="48" spans="1:9" x14ac:dyDescent="0.2">
      <c r="A48" s="83" t="s">
        <v>141</v>
      </c>
      <c r="B48" s="105" t="s">
        <v>118</v>
      </c>
      <c r="C48" s="87" t="s">
        <v>120</v>
      </c>
      <c r="D48" s="87" t="s">
        <v>122</v>
      </c>
      <c r="E48" s="84" t="s">
        <v>158</v>
      </c>
      <c r="F48" s="84">
        <v>110</v>
      </c>
      <c r="G48" s="135">
        <f>G49</f>
        <v>6.6</v>
      </c>
      <c r="H48" s="167"/>
      <c r="I48" s="148"/>
    </row>
    <row r="49" spans="1:9" x14ac:dyDescent="0.2">
      <c r="A49" s="115" t="s">
        <v>565</v>
      </c>
      <c r="B49" s="105" t="s">
        <v>118</v>
      </c>
      <c r="C49" s="87" t="s">
        <v>120</v>
      </c>
      <c r="D49" s="87" t="s">
        <v>122</v>
      </c>
      <c r="E49" s="84" t="s">
        <v>158</v>
      </c>
      <c r="F49" s="84">
        <v>112</v>
      </c>
      <c r="G49" s="135">
        <v>6.6</v>
      </c>
      <c r="H49" s="167"/>
      <c r="I49" s="148"/>
    </row>
    <row r="50" spans="1:9" ht="22.5" x14ac:dyDescent="0.2">
      <c r="A50" s="83" t="s">
        <v>144</v>
      </c>
      <c r="B50" s="105" t="s">
        <v>118</v>
      </c>
      <c r="C50" s="87" t="s">
        <v>120</v>
      </c>
      <c r="D50" s="87" t="s">
        <v>122</v>
      </c>
      <c r="E50" s="84" t="s">
        <v>145</v>
      </c>
      <c r="F50" s="84"/>
      <c r="G50" s="135">
        <f>G51</f>
        <v>380</v>
      </c>
      <c r="H50" s="167"/>
      <c r="I50" s="148"/>
    </row>
    <row r="51" spans="1:9" ht="22.5" x14ac:dyDescent="0.2">
      <c r="A51" s="83" t="s">
        <v>146</v>
      </c>
      <c r="B51" s="105" t="s">
        <v>118</v>
      </c>
      <c r="C51" s="87" t="s">
        <v>120</v>
      </c>
      <c r="D51" s="87" t="s">
        <v>122</v>
      </c>
      <c r="E51" s="84" t="s">
        <v>147</v>
      </c>
      <c r="F51" s="84"/>
      <c r="G51" s="135">
        <f>G52+G55</f>
        <v>380</v>
      </c>
      <c r="H51" s="167"/>
    </row>
    <row r="52" spans="1:9" ht="33.75" x14ac:dyDescent="0.2">
      <c r="A52" s="83" t="s">
        <v>139</v>
      </c>
      <c r="B52" s="105" t="s">
        <v>118</v>
      </c>
      <c r="C52" s="87" t="s">
        <v>120</v>
      </c>
      <c r="D52" s="87" t="s">
        <v>122</v>
      </c>
      <c r="E52" s="84" t="s">
        <v>147</v>
      </c>
      <c r="F52" s="84">
        <v>100</v>
      </c>
      <c r="G52" s="135">
        <f>G53</f>
        <v>84</v>
      </c>
      <c r="H52" s="167"/>
    </row>
    <row r="53" spans="1:9" x14ac:dyDescent="0.2">
      <c r="A53" s="83" t="s">
        <v>141</v>
      </c>
      <c r="B53" s="105" t="s">
        <v>118</v>
      </c>
      <c r="C53" s="87" t="s">
        <v>120</v>
      </c>
      <c r="D53" s="87" t="s">
        <v>122</v>
      </c>
      <c r="E53" s="84" t="s">
        <v>147</v>
      </c>
      <c r="F53" s="84">
        <v>110</v>
      </c>
      <c r="G53" s="135">
        <f>+G54</f>
        <v>84</v>
      </c>
      <c r="H53" s="167"/>
    </row>
    <row r="54" spans="1:9" x14ac:dyDescent="0.2">
      <c r="A54" s="115" t="s">
        <v>565</v>
      </c>
      <c r="B54" s="105" t="s">
        <v>118</v>
      </c>
      <c r="C54" s="87" t="s">
        <v>120</v>
      </c>
      <c r="D54" s="87" t="s">
        <v>122</v>
      </c>
      <c r="E54" s="84" t="s">
        <v>147</v>
      </c>
      <c r="F54" s="84">
        <v>112</v>
      </c>
      <c r="G54" s="135">
        <v>84</v>
      </c>
      <c r="H54" s="167"/>
    </row>
    <row r="55" spans="1:9" x14ac:dyDescent="0.2">
      <c r="A55" s="83" t="s">
        <v>650</v>
      </c>
      <c r="B55" s="105" t="s">
        <v>118</v>
      </c>
      <c r="C55" s="87" t="s">
        <v>120</v>
      </c>
      <c r="D55" s="87" t="s">
        <v>122</v>
      </c>
      <c r="E55" s="84" t="s">
        <v>147</v>
      </c>
      <c r="F55" s="84" t="s">
        <v>150</v>
      </c>
      <c r="G55" s="135">
        <f>G56</f>
        <v>296</v>
      </c>
      <c r="H55" s="167"/>
      <c r="I55" s="149"/>
    </row>
    <row r="56" spans="1:9" ht="22.5" x14ac:dyDescent="0.2">
      <c r="A56" s="83" t="s">
        <v>151</v>
      </c>
      <c r="B56" s="105" t="s">
        <v>118</v>
      </c>
      <c r="C56" s="87" t="s">
        <v>120</v>
      </c>
      <c r="D56" s="87" t="s">
        <v>122</v>
      </c>
      <c r="E56" s="84" t="s">
        <v>147</v>
      </c>
      <c r="F56" s="84" t="s">
        <v>152</v>
      </c>
      <c r="G56" s="135">
        <f>G57</f>
        <v>296</v>
      </c>
      <c r="H56" s="169"/>
    </row>
    <row r="57" spans="1:9" ht="22.5" x14ac:dyDescent="0.2">
      <c r="A57" s="115" t="s">
        <v>153</v>
      </c>
      <c r="B57" s="105" t="s">
        <v>118</v>
      </c>
      <c r="C57" s="87" t="s">
        <v>120</v>
      </c>
      <c r="D57" s="87" t="s">
        <v>122</v>
      </c>
      <c r="E57" s="84" t="s">
        <v>147</v>
      </c>
      <c r="F57" s="84" t="s">
        <v>154</v>
      </c>
      <c r="G57" s="135">
        <v>296</v>
      </c>
      <c r="H57" s="167"/>
    </row>
    <row r="58" spans="1:9" x14ac:dyDescent="0.2">
      <c r="A58" s="115" t="s">
        <v>157</v>
      </c>
      <c r="B58" s="105" t="s">
        <v>118</v>
      </c>
      <c r="C58" s="87" t="s">
        <v>120</v>
      </c>
      <c r="D58" s="87" t="s">
        <v>122</v>
      </c>
      <c r="E58" s="84" t="s">
        <v>158</v>
      </c>
      <c r="F58" s="84"/>
      <c r="G58" s="135">
        <f>G59</f>
        <v>103.4</v>
      </c>
      <c r="H58" s="167"/>
      <c r="I58" s="148"/>
    </row>
    <row r="59" spans="1:9" ht="22.5" x14ac:dyDescent="0.2">
      <c r="A59" s="83" t="s">
        <v>129</v>
      </c>
      <c r="B59" s="105" t="s">
        <v>118</v>
      </c>
      <c r="C59" s="87" t="s">
        <v>120</v>
      </c>
      <c r="D59" s="87" t="s">
        <v>122</v>
      </c>
      <c r="E59" s="84" t="s">
        <v>158</v>
      </c>
      <c r="F59" s="84">
        <v>600</v>
      </c>
      <c r="G59" s="135">
        <f>G60</f>
        <v>103.4</v>
      </c>
      <c r="H59" s="167"/>
    </row>
    <row r="60" spans="1:9" x14ac:dyDescent="0.2">
      <c r="A60" s="83" t="s">
        <v>131</v>
      </c>
      <c r="B60" s="105" t="s">
        <v>118</v>
      </c>
      <c r="C60" s="87" t="s">
        <v>120</v>
      </c>
      <c r="D60" s="87" t="s">
        <v>122</v>
      </c>
      <c r="E60" s="84" t="s">
        <v>158</v>
      </c>
      <c r="F60" s="84">
        <v>610</v>
      </c>
      <c r="G60" s="135">
        <f>G61</f>
        <v>103.4</v>
      </c>
      <c r="H60" s="167"/>
    </row>
    <row r="61" spans="1:9" ht="33.75" x14ac:dyDescent="0.2">
      <c r="A61" s="83" t="s">
        <v>133</v>
      </c>
      <c r="B61" s="105" t="s">
        <v>118</v>
      </c>
      <c r="C61" s="87" t="s">
        <v>120</v>
      </c>
      <c r="D61" s="87" t="s">
        <v>122</v>
      </c>
      <c r="E61" s="84" t="s">
        <v>158</v>
      </c>
      <c r="F61" s="84">
        <v>611</v>
      </c>
      <c r="G61" s="135">
        <v>103.4</v>
      </c>
      <c r="H61" s="167"/>
    </row>
    <row r="62" spans="1:9" x14ac:dyDescent="0.2">
      <c r="A62" s="98" t="s">
        <v>159</v>
      </c>
      <c r="B62" s="106" t="s">
        <v>118</v>
      </c>
      <c r="C62" s="97" t="s">
        <v>120</v>
      </c>
      <c r="D62" s="99" t="s">
        <v>160</v>
      </c>
      <c r="E62" s="97"/>
      <c r="F62" s="97"/>
      <c r="G62" s="133">
        <f>G68+G63</f>
        <v>10251.299999999999</v>
      </c>
      <c r="H62" s="167"/>
      <c r="I62" s="148"/>
    </row>
    <row r="63" spans="1:9" x14ac:dyDescent="0.2">
      <c r="A63" s="114" t="s">
        <v>161</v>
      </c>
      <c r="B63" s="105" t="s">
        <v>118</v>
      </c>
      <c r="C63" s="87" t="s">
        <v>120</v>
      </c>
      <c r="D63" s="87" t="s">
        <v>160</v>
      </c>
      <c r="E63" s="84" t="s">
        <v>162</v>
      </c>
      <c r="F63" s="84"/>
      <c r="G63" s="135">
        <f>G64</f>
        <v>220</v>
      </c>
      <c r="H63" s="166"/>
    </row>
    <row r="64" spans="1:9" ht="24" x14ac:dyDescent="0.2">
      <c r="A64" s="129" t="s">
        <v>163</v>
      </c>
      <c r="B64" s="105" t="s">
        <v>118</v>
      </c>
      <c r="C64" s="87" t="s">
        <v>120</v>
      </c>
      <c r="D64" s="87" t="s">
        <v>160</v>
      </c>
      <c r="E64" s="84" t="s">
        <v>164</v>
      </c>
      <c r="F64" s="84"/>
      <c r="G64" s="135">
        <f>G65</f>
        <v>220</v>
      </c>
      <c r="H64" s="166"/>
    </row>
    <row r="65" spans="1:9" x14ac:dyDescent="0.2">
      <c r="A65" s="83" t="s">
        <v>650</v>
      </c>
      <c r="B65" s="105" t="s">
        <v>118</v>
      </c>
      <c r="C65" s="87" t="s">
        <v>120</v>
      </c>
      <c r="D65" s="87" t="s">
        <v>160</v>
      </c>
      <c r="E65" s="84" t="s">
        <v>164</v>
      </c>
      <c r="F65" s="84" t="s">
        <v>150</v>
      </c>
      <c r="G65" s="135">
        <f>G66</f>
        <v>220</v>
      </c>
      <c r="H65" s="166"/>
    </row>
    <row r="66" spans="1:9" ht="22.5" x14ac:dyDescent="0.2">
      <c r="A66" s="83" t="s">
        <v>151</v>
      </c>
      <c r="B66" s="105" t="s">
        <v>118</v>
      </c>
      <c r="C66" s="87" t="s">
        <v>120</v>
      </c>
      <c r="D66" s="87" t="s">
        <v>160</v>
      </c>
      <c r="E66" s="84" t="s">
        <v>164</v>
      </c>
      <c r="F66" s="84" t="s">
        <v>152</v>
      </c>
      <c r="G66" s="135">
        <f>G67</f>
        <v>220</v>
      </c>
      <c r="H66" s="166"/>
    </row>
    <row r="67" spans="1:9" ht="22.5" x14ac:dyDescent="0.2">
      <c r="A67" s="115" t="s">
        <v>153</v>
      </c>
      <c r="B67" s="105" t="s">
        <v>118</v>
      </c>
      <c r="C67" s="87" t="s">
        <v>120</v>
      </c>
      <c r="D67" s="87" t="s">
        <v>160</v>
      </c>
      <c r="E67" s="84" t="s">
        <v>164</v>
      </c>
      <c r="F67" s="84" t="s">
        <v>154</v>
      </c>
      <c r="G67" s="135">
        <v>220</v>
      </c>
      <c r="H67" s="166"/>
    </row>
    <row r="68" spans="1:9" ht="22.5" x14ac:dyDescent="0.2">
      <c r="A68" s="83" t="s">
        <v>144</v>
      </c>
      <c r="B68" s="105" t="s">
        <v>118</v>
      </c>
      <c r="C68" s="87" t="s">
        <v>120</v>
      </c>
      <c r="D68" s="87" t="s">
        <v>160</v>
      </c>
      <c r="E68" s="84" t="s">
        <v>145</v>
      </c>
      <c r="F68" s="84"/>
      <c r="G68" s="135">
        <f>G69+G74</f>
        <v>10031.299999999999</v>
      </c>
      <c r="H68" s="166"/>
    </row>
    <row r="69" spans="1:9" ht="22.5" x14ac:dyDescent="0.2">
      <c r="A69" s="100" t="s">
        <v>165</v>
      </c>
      <c r="B69" s="111" t="s">
        <v>118</v>
      </c>
      <c r="C69" s="102" t="s">
        <v>120</v>
      </c>
      <c r="D69" s="104" t="s">
        <v>160</v>
      </c>
      <c r="E69" s="102" t="s">
        <v>166</v>
      </c>
      <c r="F69" s="102"/>
      <c r="G69" s="134">
        <f>G70</f>
        <v>490.3</v>
      </c>
      <c r="H69" s="166"/>
    </row>
    <row r="70" spans="1:9" ht="33.75" x14ac:dyDescent="0.2">
      <c r="A70" s="83" t="s">
        <v>139</v>
      </c>
      <c r="B70" s="105" t="s">
        <v>118</v>
      </c>
      <c r="C70" s="84" t="s">
        <v>120</v>
      </c>
      <c r="D70" s="87" t="s">
        <v>160</v>
      </c>
      <c r="E70" s="84" t="s">
        <v>167</v>
      </c>
      <c r="F70" s="84">
        <v>100</v>
      </c>
      <c r="G70" s="135">
        <f>G71</f>
        <v>490.3</v>
      </c>
      <c r="H70" s="166"/>
      <c r="I70" s="148"/>
    </row>
    <row r="71" spans="1:9" x14ac:dyDescent="0.2">
      <c r="A71" s="83" t="s">
        <v>168</v>
      </c>
      <c r="B71" s="105" t="s">
        <v>118</v>
      </c>
      <c r="C71" s="84" t="s">
        <v>120</v>
      </c>
      <c r="D71" s="87" t="s">
        <v>160</v>
      </c>
      <c r="E71" s="84" t="s">
        <v>167</v>
      </c>
      <c r="F71" s="84">
        <v>120</v>
      </c>
      <c r="G71" s="135">
        <f>G72+G73</f>
        <v>490.3</v>
      </c>
      <c r="H71" s="166"/>
    </row>
    <row r="72" spans="1:9" x14ac:dyDescent="0.2">
      <c r="A72" s="114" t="s">
        <v>169</v>
      </c>
      <c r="B72" s="105" t="s">
        <v>118</v>
      </c>
      <c r="C72" s="84" t="s">
        <v>120</v>
      </c>
      <c r="D72" s="87" t="s">
        <v>160</v>
      </c>
      <c r="E72" s="84" t="s">
        <v>167</v>
      </c>
      <c r="F72" s="84">
        <v>121</v>
      </c>
      <c r="G72" s="135">
        <v>376.6</v>
      </c>
      <c r="H72" s="166"/>
    </row>
    <row r="73" spans="1:9" ht="33.75" x14ac:dyDescent="0.2">
      <c r="A73" s="114" t="s">
        <v>170</v>
      </c>
      <c r="B73" s="105" t="s">
        <v>118</v>
      </c>
      <c r="C73" s="84" t="s">
        <v>120</v>
      </c>
      <c r="D73" s="87" t="s">
        <v>160</v>
      </c>
      <c r="E73" s="84" t="s">
        <v>167</v>
      </c>
      <c r="F73" s="84">
        <v>129</v>
      </c>
      <c r="G73" s="135">
        <v>113.7</v>
      </c>
      <c r="H73" s="166"/>
    </row>
    <row r="74" spans="1:9" ht="22.5" x14ac:dyDescent="0.2">
      <c r="A74" s="100" t="s">
        <v>146</v>
      </c>
      <c r="B74" s="111" t="s">
        <v>118</v>
      </c>
      <c r="C74" s="102" t="s">
        <v>120</v>
      </c>
      <c r="D74" s="104" t="s">
        <v>160</v>
      </c>
      <c r="E74" s="102" t="s">
        <v>177</v>
      </c>
      <c r="F74" s="102"/>
      <c r="G74" s="134">
        <f>G75+G79</f>
        <v>9541</v>
      </c>
      <c r="H74" s="166"/>
    </row>
    <row r="75" spans="1:9" ht="33.75" x14ac:dyDescent="0.2">
      <c r="A75" s="83" t="s">
        <v>139</v>
      </c>
      <c r="B75" s="105" t="s">
        <v>118</v>
      </c>
      <c r="C75" s="84" t="s">
        <v>120</v>
      </c>
      <c r="D75" s="87" t="s">
        <v>160</v>
      </c>
      <c r="E75" s="84" t="s">
        <v>178</v>
      </c>
      <c r="F75" s="84">
        <v>100</v>
      </c>
      <c r="G75" s="135">
        <f>G76</f>
        <v>9401</v>
      </c>
      <c r="H75" s="166"/>
      <c r="I75" s="148"/>
    </row>
    <row r="76" spans="1:9" x14ac:dyDescent="0.2">
      <c r="A76" s="83" t="s">
        <v>141</v>
      </c>
      <c r="B76" s="105" t="s">
        <v>118</v>
      </c>
      <c r="C76" s="84" t="s">
        <v>120</v>
      </c>
      <c r="D76" s="87" t="s">
        <v>160</v>
      </c>
      <c r="E76" s="84" t="s">
        <v>178</v>
      </c>
      <c r="F76" s="84">
        <v>110</v>
      </c>
      <c r="G76" s="135">
        <f>G77+G78</f>
        <v>9401</v>
      </c>
      <c r="H76" s="166"/>
    </row>
    <row r="77" spans="1:9" x14ac:dyDescent="0.2">
      <c r="A77" s="83" t="s">
        <v>142</v>
      </c>
      <c r="B77" s="105" t="s">
        <v>118</v>
      </c>
      <c r="C77" s="84" t="s">
        <v>120</v>
      </c>
      <c r="D77" s="87" t="s">
        <v>160</v>
      </c>
      <c r="E77" s="84" t="s">
        <v>178</v>
      </c>
      <c r="F77" s="84">
        <v>111</v>
      </c>
      <c r="G77" s="135">
        <v>7220.5</v>
      </c>
      <c r="H77" s="166"/>
    </row>
    <row r="78" spans="1:9" ht="22.5" x14ac:dyDescent="0.2">
      <c r="A78" s="114" t="s">
        <v>143</v>
      </c>
      <c r="B78" s="105" t="s">
        <v>118</v>
      </c>
      <c r="C78" s="84" t="s">
        <v>120</v>
      </c>
      <c r="D78" s="87" t="s">
        <v>160</v>
      </c>
      <c r="E78" s="84" t="s">
        <v>178</v>
      </c>
      <c r="F78" s="84">
        <v>119</v>
      </c>
      <c r="G78" s="135">
        <v>2180.5</v>
      </c>
      <c r="H78" s="166"/>
    </row>
    <row r="79" spans="1:9" x14ac:dyDescent="0.2">
      <c r="A79" s="83" t="s">
        <v>650</v>
      </c>
      <c r="B79" s="105" t="s">
        <v>118</v>
      </c>
      <c r="C79" s="84" t="s">
        <v>120</v>
      </c>
      <c r="D79" s="87" t="s">
        <v>160</v>
      </c>
      <c r="E79" s="84" t="s">
        <v>179</v>
      </c>
      <c r="F79" s="84" t="s">
        <v>150</v>
      </c>
      <c r="G79" s="135">
        <f>SUM(G80)</f>
        <v>140</v>
      </c>
      <c r="H79" s="166"/>
    </row>
    <row r="80" spans="1:9" ht="22.5" x14ac:dyDescent="0.2">
      <c r="A80" s="83" t="s">
        <v>151</v>
      </c>
      <c r="B80" s="105" t="s">
        <v>118</v>
      </c>
      <c r="C80" s="84" t="s">
        <v>120</v>
      </c>
      <c r="D80" s="87" t="s">
        <v>160</v>
      </c>
      <c r="E80" s="84" t="s">
        <v>179</v>
      </c>
      <c r="F80" s="84" t="s">
        <v>152</v>
      </c>
      <c r="G80" s="135">
        <f>G82+G81</f>
        <v>140</v>
      </c>
      <c r="H80" s="166"/>
    </row>
    <row r="81" spans="1:13" ht="22.5" x14ac:dyDescent="0.2">
      <c r="A81" s="115" t="s">
        <v>171</v>
      </c>
      <c r="B81" s="105" t="s">
        <v>118</v>
      </c>
      <c r="C81" s="84" t="s">
        <v>120</v>
      </c>
      <c r="D81" s="87" t="s">
        <v>160</v>
      </c>
      <c r="E81" s="84" t="s">
        <v>179</v>
      </c>
      <c r="F81" s="84">
        <v>242</v>
      </c>
      <c r="G81" s="135">
        <v>110</v>
      </c>
      <c r="H81" s="166"/>
    </row>
    <row r="82" spans="1:13" ht="22.5" x14ac:dyDescent="0.2">
      <c r="A82" s="115" t="s">
        <v>153</v>
      </c>
      <c r="B82" s="105" t="s">
        <v>118</v>
      </c>
      <c r="C82" s="84" t="s">
        <v>120</v>
      </c>
      <c r="D82" s="87" t="s">
        <v>160</v>
      </c>
      <c r="E82" s="84" t="s">
        <v>179</v>
      </c>
      <c r="F82" s="84" t="s">
        <v>154</v>
      </c>
      <c r="G82" s="135">
        <v>30</v>
      </c>
      <c r="H82" s="166"/>
    </row>
    <row r="83" spans="1:13" ht="21" x14ac:dyDescent="0.2">
      <c r="A83" s="112" t="s">
        <v>180</v>
      </c>
      <c r="B83" s="110" t="s">
        <v>181</v>
      </c>
      <c r="C83" s="109" t="s">
        <v>182</v>
      </c>
      <c r="D83" s="110" t="s">
        <v>182</v>
      </c>
      <c r="E83" s="109" t="s">
        <v>183</v>
      </c>
      <c r="F83" s="109" t="s">
        <v>184</v>
      </c>
      <c r="G83" s="132">
        <f>G84</f>
        <v>65286.399999999994</v>
      </c>
      <c r="H83" s="231"/>
      <c r="I83" s="233"/>
    </row>
    <row r="84" spans="1:13" x14ac:dyDescent="0.2">
      <c r="A84" s="61" t="s">
        <v>185</v>
      </c>
      <c r="B84" s="94" t="s">
        <v>181</v>
      </c>
      <c r="C84" s="96" t="s">
        <v>186</v>
      </c>
      <c r="D84" s="94" t="s">
        <v>182</v>
      </c>
      <c r="E84" s="96" t="s">
        <v>183</v>
      </c>
      <c r="F84" s="96" t="s">
        <v>184</v>
      </c>
      <c r="G84" s="138">
        <f>G85+G128+G134</f>
        <v>65286.399999999994</v>
      </c>
      <c r="H84" s="166"/>
      <c r="I84" s="148"/>
    </row>
    <row r="85" spans="1:13" x14ac:dyDescent="0.2">
      <c r="A85" s="61" t="s">
        <v>187</v>
      </c>
      <c r="B85" s="94" t="s">
        <v>181</v>
      </c>
      <c r="C85" s="96" t="s">
        <v>186</v>
      </c>
      <c r="D85" s="94" t="s">
        <v>188</v>
      </c>
      <c r="E85" s="96"/>
      <c r="F85" s="96"/>
      <c r="G85" s="138">
        <f>G86</f>
        <v>29050.799999999999</v>
      </c>
      <c r="H85" s="166"/>
    </row>
    <row r="86" spans="1:13" ht="21" x14ac:dyDescent="0.2">
      <c r="A86" s="61" t="s">
        <v>189</v>
      </c>
      <c r="B86" s="94" t="s">
        <v>181</v>
      </c>
      <c r="C86" s="96">
        <v>10</v>
      </c>
      <c r="D86" s="94" t="s">
        <v>188</v>
      </c>
      <c r="E86" s="96" t="s">
        <v>190</v>
      </c>
      <c r="F86" s="96"/>
      <c r="G86" s="138">
        <f>G87+G106</f>
        <v>29050.799999999999</v>
      </c>
      <c r="H86" s="166"/>
      <c r="I86" s="148"/>
    </row>
    <row r="87" spans="1:13" ht="22.5" x14ac:dyDescent="0.2">
      <c r="A87" s="66" t="s">
        <v>191</v>
      </c>
      <c r="B87" s="73" t="s">
        <v>181</v>
      </c>
      <c r="C87" s="73" t="s">
        <v>186</v>
      </c>
      <c r="D87" s="73" t="s">
        <v>188</v>
      </c>
      <c r="E87" s="73" t="s">
        <v>192</v>
      </c>
      <c r="F87" s="78"/>
      <c r="G87" s="139">
        <f>G88+G93+G101</f>
        <v>19764.099999999999</v>
      </c>
      <c r="H87" s="170"/>
    </row>
    <row r="88" spans="1:13" s="79" customFormat="1" ht="22.5" x14ac:dyDescent="0.2">
      <c r="A88" s="66" t="s">
        <v>193</v>
      </c>
      <c r="B88" s="73" t="s">
        <v>181</v>
      </c>
      <c r="C88" s="73" t="s">
        <v>186</v>
      </c>
      <c r="D88" s="73" t="s">
        <v>188</v>
      </c>
      <c r="E88" s="73" t="s">
        <v>194</v>
      </c>
      <c r="F88" s="78"/>
      <c r="G88" s="139">
        <f>G89</f>
        <v>7852.1</v>
      </c>
      <c r="H88" s="170"/>
      <c r="I88" s="151"/>
      <c r="J88" s="151"/>
      <c r="K88" s="151"/>
      <c r="L88" s="151"/>
      <c r="M88" s="151"/>
    </row>
    <row r="89" spans="1:13" s="79" customFormat="1" ht="11.25" x14ac:dyDescent="0.2">
      <c r="A89" s="314" t="s">
        <v>195</v>
      </c>
      <c r="B89" s="315" t="s">
        <v>181</v>
      </c>
      <c r="C89" s="315" t="s">
        <v>186</v>
      </c>
      <c r="D89" s="315" t="s">
        <v>188</v>
      </c>
      <c r="E89" s="315" t="s">
        <v>196</v>
      </c>
      <c r="F89" s="317"/>
      <c r="G89" s="316">
        <f>G90</f>
        <v>7852.1</v>
      </c>
      <c r="H89" s="170"/>
      <c r="I89" s="151"/>
      <c r="J89" s="151"/>
      <c r="K89" s="151"/>
      <c r="L89" s="151"/>
      <c r="M89" s="151"/>
    </row>
    <row r="90" spans="1:13" s="79" customFormat="1" ht="11.25" x14ac:dyDescent="0.2">
      <c r="A90" s="75" t="s">
        <v>197</v>
      </c>
      <c r="B90" s="73" t="s">
        <v>181</v>
      </c>
      <c r="C90" s="73" t="s">
        <v>186</v>
      </c>
      <c r="D90" s="73" t="s">
        <v>188</v>
      </c>
      <c r="E90" s="73" t="s">
        <v>196</v>
      </c>
      <c r="F90" s="73" t="s">
        <v>198</v>
      </c>
      <c r="G90" s="139">
        <f>G92</f>
        <v>7852.1</v>
      </c>
      <c r="H90" s="166"/>
      <c r="I90" s="151"/>
      <c r="J90" s="151"/>
      <c r="K90" s="151"/>
      <c r="L90" s="151"/>
      <c r="M90" s="151"/>
    </row>
    <row r="91" spans="1:13" s="79" customFormat="1" ht="11.25" x14ac:dyDescent="0.2">
      <c r="A91" s="75" t="s">
        <v>199</v>
      </c>
      <c r="B91" s="73" t="s">
        <v>181</v>
      </c>
      <c r="C91" s="73" t="s">
        <v>186</v>
      </c>
      <c r="D91" s="73" t="s">
        <v>188</v>
      </c>
      <c r="E91" s="73" t="s">
        <v>196</v>
      </c>
      <c r="F91" s="78">
        <v>310</v>
      </c>
      <c r="G91" s="139">
        <f>G92</f>
        <v>7852.1</v>
      </c>
      <c r="H91" s="170"/>
      <c r="I91" s="151"/>
      <c r="J91" s="151"/>
      <c r="K91" s="151"/>
      <c r="L91" s="151"/>
      <c r="M91" s="151"/>
    </row>
    <row r="92" spans="1:13" s="79" customFormat="1" ht="33.75" x14ac:dyDescent="0.2">
      <c r="A92" s="70" t="s">
        <v>572</v>
      </c>
      <c r="B92" s="73" t="s">
        <v>181</v>
      </c>
      <c r="C92" s="73" t="s">
        <v>186</v>
      </c>
      <c r="D92" s="73" t="s">
        <v>188</v>
      </c>
      <c r="E92" s="73" t="s">
        <v>196</v>
      </c>
      <c r="F92" s="78">
        <v>313</v>
      </c>
      <c r="G92" s="139">
        <v>7852.1</v>
      </c>
      <c r="H92" s="170"/>
      <c r="I92" s="151"/>
      <c r="J92" s="151"/>
      <c r="K92" s="151"/>
      <c r="L92" s="151"/>
      <c r="M92" s="151"/>
    </row>
    <row r="93" spans="1:13" s="79" customFormat="1" ht="22.5" x14ac:dyDescent="0.2">
      <c r="A93" s="66" t="s">
        <v>204</v>
      </c>
      <c r="B93" s="67" t="s">
        <v>181</v>
      </c>
      <c r="C93" s="68">
        <v>10</v>
      </c>
      <c r="D93" s="67" t="s">
        <v>188</v>
      </c>
      <c r="E93" s="68" t="s">
        <v>205</v>
      </c>
      <c r="F93" s="68" t="s">
        <v>184</v>
      </c>
      <c r="G93" s="131">
        <f>G94</f>
        <v>11633.400000000001</v>
      </c>
      <c r="H93" s="170"/>
      <c r="I93" s="151"/>
      <c r="J93" s="151"/>
      <c r="K93" s="151"/>
      <c r="L93" s="151"/>
      <c r="M93" s="151"/>
    </row>
    <row r="94" spans="1:13" s="79" customFormat="1" ht="22.5" x14ac:dyDescent="0.2">
      <c r="A94" s="304" t="s">
        <v>73</v>
      </c>
      <c r="B94" s="305" t="s">
        <v>181</v>
      </c>
      <c r="C94" s="306" t="s">
        <v>186</v>
      </c>
      <c r="D94" s="305" t="s">
        <v>188</v>
      </c>
      <c r="E94" s="306" t="s">
        <v>206</v>
      </c>
      <c r="F94" s="306"/>
      <c r="G94" s="307">
        <f>G95+G98</f>
        <v>11633.400000000001</v>
      </c>
      <c r="H94" s="166"/>
      <c r="I94" s="151"/>
      <c r="J94" s="151"/>
      <c r="K94" s="151"/>
      <c r="L94" s="151"/>
      <c r="M94" s="151"/>
    </row>
    <row r="95" spans="1:13" x14ac:dyDescent="0.2">
      <c r="A95" s="83" t="s">
        <v>650</v>
      </c>
      <c r="B95" s="67" t="s">
        <v>181</v>
      </c>
      <c r="C95" s="68" t="s">
        <v>186</v>
      </c>
      <c r="D95" s="67" t="s">
        <v>188</v>
      </c>
      <c r="E95" s="68" t="s">
        <v>206</v>
      </c>
      <c r="F95" s="68" t="s">
        <v>150</v>
      </c>
      <c r="G95" s="131">
        <f>SUM(G96)</f>
        <v>166.7</v>
      </c>
      <c r="H95" s="170"/>
    </row>
    <row r="96" spans="1:13" s="79" customFormat="1" ht="22.5" x14ac:dyDescent="0.2">
      <c r="A96" s="83" t="s">
        <v>151</v>
      </c>
      <c r="B96" s="67" t="s">
        <v>181</v>
      </c>
      <c r="C96" s="68" t="s">
        <v>186</v>
      </c>
      <c r="D96" s="67" t="s">
        <v>188</v>
      </c>
      <c r="E96" s="68" t="s">
        <v>206</v>
      </c>
      <c r="F96" s="68" t="s">
        <v>152</v>
      </c>
      <c r="G96" s="131">
        <f>G97</f>
        <v>166.7</v>
      </c>
      <c r="H96" s="170"/>
      <c r="I96" s="151"/>
      <c r="J96" s="151"/>
      <c r="K96" s="151"/>
      <c r="L96" s="151"/>
      <c r="M96" s="151"/>
    </row>
    <row r="97" spans="1:13" s="79" customFormat="1" ht="22.5" x14ac:dyDescent="0.2">
      <c r="A97" s="115" t="s">
        <v>153</v>
      </c>
      <c r="B97" s="67" t="s">
        <v>181</v>
      </c>
      <c r="C97" s="68" t="s">
        <v>186</v>
      </c>
      <c r="D97" s="67" t="s">
        <v>188</v>
      </c>
      <c r="E97" s="68" t="s">
        <v>206</v>
      </c>
      <c r="F97" s="68" t="s">
        <v>154</v>
      </c>
      <c r="G97" s="131">
        <v>166.7</v>
      </c>
      <c r="H97" s="170"/>
      <c r="I97" s="151"/>
      <c r="J97" s="151"/>
      <c r="K97" s="151"/>
      <c r="L97" s="151"/>
      <c r="M97" s="151"/>
    </row>
    <row r="98" spans="1:13" s="79" customFormat="1" ht="11.25" x14ac:dyDescent="0.2">
      <c r="A98" s="75" t="s">
        <v>197</v>
      </c>
      <c r="B98" s="67" t="s">
        <v>181</v>
      </c>
      <c r="C98" s="68" t="s">
        <v>186</v>
      </c>
      <c r="D98" s="67" t="s">
        <v>188</v>
      </c>
      <c r="E98" s="68" t="s">
        <v>206</v>
      </c>
      <c r="F98" s="68">
        <v>300</v>
      </c>
      <c r="G98" s="131">
        <f>G99</f>
        <v>11466.7</v>
      </c>
      <c r="H98" s="166"/>
      <c r="I98" s="151"/>
      <c r="J98" s="151"/>
      <c r="K98" s="151"/>
      <c r="L98" s="151"/>
      <c r="M98" s="151"/>
    </row>
    <row r="99" spans="1:13" x14ac:dyDescent="0.2">
      <c r="A99" s="75" t="s">
        <v>199</v>
      </c>
      <c r="B99" s="67" t="s">
        <v>181</v>
      </c>
      <c r="C99" s="68" t="s">
        <v>186</v>
      </c>
      <c r="D99" s="67" t="s">
        <v>188</v>
      </c>
      <c r="E99" s="68" t="s">
        <v>206</v>
      </c>
      <c r="F99" s="68">
        <v>310</v>
      </c>
      <c r="G99" s="131">
        <f>G100</f>
        <v>11466.7</v>
      </c>
      <c r="H99" s="166"/>
    </row>
    <row r="100" spans="1:13" ht="22.5" x14ac:dyDescent="0.2">
      <c r="A100" s="70" t="s">
        <v>200</v>
      </c>
      <c r="B100" s="67" t="s">
        <v>181</v>
      </c>
      <c r="C100" s="68">
        <v>10</v>
      </c>
      <c r="D100" s="67" t="s">
        <v>188</v>
      </c>
      <c r="E100" s="68" t="s">
        <v>206</v>
      </c>
      <c r="F100" s="68">
        <v>313</v>
      </c>
      <c r="G100" s="131">
        <v>11466.7</v>
      </c>
      <c r="H100" s="166"/>
    </row>
    <row r="101" spans="1:13" ht="22.5" x14ac:dyDescent="0.2">
      <c r="A101" s="75" t="s">
        <v>207</v>
      </c>
      <c r="B101" s="73" t="s">
        <v>181</v>
      </c>
      <c r="C101" s="73" t="s">
        <v>186</v>
      </c>
      <c r="D101" s="73" t="s">
        <v>188</v>
      </c>
      <c r="E101" s="73" t="s">
        <v>208</v>
      </c>
      <c r="F101" s="73"/>
      <c r="G101" s="139">
        <f>G103</f>
        <v>278.60000000000002</v>
      </c>
      <c r="H101" s="166"/>
    </row>
    <row r="102" spans="1:13" ht="22.5" x14ac:dyDescent="0.2">
      <c r="A102" s="314" t="s">
        <v>662</v>
      </c>
      <c r="B102" s="315" t="s">
        <v>181</v>
      </c>
      <c r="C102" s="315" t="s">
        <v>186</v>
      </c>
      <c r="D102" s="315" t="s">
        <v>188</v>
      </c>
      <c r="E102" s="315" t="s">
        <v>209</v>
      </c>
      <c r="F102" s="315"/>
      <c r="G102" s="316">
        <f>G103</f>
        <v>278.60000000000002</v>
      </c>
      <c r="H102" s="166"/>
    </row>
    <row r="103" spans="1:13" x14ac:dyDescent="0.2">
      <c r="A103" s="75" t="s">
        <v>197</v>
      </c>
      <c r="B103" s="73" t="s">
        <v>181</v>
      </c>
      <c r="C103" s="73" t="s">
        <v>186</v>
      </c>
      <c r="D103" s="73" t="s">
        <v>188</v>
      </c>
      <c r="E103" s="73" t="s">
        <v>209</v>
      </c>
      <c r="F103" s="73" t="s">
        <v>198</v>
      </c>
      <c r="G103" s="139">
        <f>G104</f>
        <v>278.60000000000002</v>
      </c>
      <c r="H103" s="166"/>
    </row>
    <row r="104" spans="1:13" x14ac:dyDescent="0.2">
      <c r="A104" s="75" t="s">
        <v>199</v>
      </c>
      <c r="B104" s="73" t="s">
        <v>181</v>
      </c>
      <c r="C104" s="73" t="s">
        <v>186</v>
      </c>
      <c r="D104" s="73" t="s">
        <v>188</v>
      </c>
      <c r="E104" s="73" t="s">
        <v>209</v>
      </c>
      <c r="F104" s="78">
        <v>310</v>
      </c>
      <c r="G104" s="139">
        <f>G105</f>
        <v>278.60000000000002</v>
      </c>
      <c r="H104" s="166"/>
    </row>
    <row r="105" spans="1:13" ht="22.5" x14ac:dyDescent="0.2">
      <c r="A105" s="70" t="s">
        <v>200</v>
      </c>
      <c r="B105" s="73" t="s">
        <v>181</v>
      </c>
      <c r="C105" s="73" t="s">
        <v>186</v>
      </c>
      <c r="D105" s="73" t="s">
        <v>188</v>
      </c>
      <c r="E105" s="73" t="s">
        <v>209</v>
      </c>
      <c r="F105" s="78">
        <v>313</v>
      </c>
      <c r="G105" s="139">
        <v>278.60000000000002</v>
      </c>
      <c r="H105" s="166"/>
    </row>
    <row r="106" spans="1:13" ht="21" x14ac:dyDescent="0.2">
      <c r="A106" s="80" t="s">
        <v>210</v>
      </c>
      <c r="B106" s="67" t="s">
        <v>181</v>
      </c>
      <c r="C106" s="68">
        <v>10</v>
      </c>
      <c r="D106" s="67" t="s">
        <v>188</v>
      </c>
      <c r="E106" s="68" t="s">
        <v>211</v>
      </c>
      <c r="F106" s="68"/>
      <c r="G106" s="131">
        <f>G107+G115+G120</f>
        <v>9286.7000000000007</v>
      </c>
      <c r="H106" s="170"/>
    </row>
    <row r="107" spans="1:13" s="79" customFormat="1" ht="22.5" x14ac:dyDescent="0.2">
      <c r="A107" s="75" t="s">
        <v>212</v>
      </c>
      <c r="B107" s="73" t="s">
        <v>181</v>
      </c>
      <c r="C107" s="73" t="s">
        <v>186</v>
      </c>
      <c r="D107" s="73" t="s">
        <v>188</v>
      </c>
      <c r="E107" s="73" t="s">
        <v>213</v>
      </c>
      <c r="F107" s="73"/>
      <c r="G107" s="139">
        <f>G108</f>
        <v>5090.3</v>
      </c>
      <c r="H107" s="170"/>
      <c r="I107" s="151"/>
      <c r="J107" s="151"/>
      <c r="K107" s="151"/>
      <c r="L107" s="151"/>
      <c r="M107" s="151"/>
    </row>
    <row r="108" spans="1:13" s="79" customFormat="1" ht="22.5" x14ac:dyDescent="0.2">
      <c r="A108" s="314" t="s">
        <v>78</v>
      </c>
      <c r="B108" s="315" t="s">
        <v>181</v>
      </c>
      <c r="C108" s="315" t="s">
        <v>186</v>
      </c>
      <c r="D108" s="315" t="s">
        <v>188</v>
      </c>
      <c r="E108" s="315" t="s">
        <v>214</v>
      </c>
      <c r="F108" s="315"/>
      <c r="G108" s="316">
        <f>G109+G112</f>
        <v>5090.3</v>
      </c>
      <c r="H108" s="170"/>
      <c r="I108" s="151"/>
      <c r="J108" s="151"/>
      <c r="K108" s="151"/>
      <c r="L108" s="151"/>
      <c r="M108" s="151"/>
    </row>
    <row r="109" spans="1:13" s="79" customFormat="1" ht="11.25" x14ac:dyDescent="0.2">
      <c r="A109" s="83" t="s">
        <v>650</v>
      </c>
      <c r="B109" s="67" t="s">
        <v>181</v>
      </c>
      <c r="C109" s="68" t="s">
        <v>186</v>
      </c>
      <c r="D109" s="67" t="s">
        <v>188</v>
      </c>
      <c r="E109" s="73" t="s">
        <v>214</v>
      </c>
      <c r="F109" s="68" t="s">
        <v>150</v>
      </c>
      <c r="G109" s="131">
        <f>SUM(G110)</f>
        <v>95</v>
      </c>
      <c r="H109" s="170"/>
      <c r="I109" s="151"/>
      <c r="J109" s="151"/>
      <c r="K109" s="151"/>
      <c r="L109" s="151"/>
      <c r="M109" s="151"/>
    </row>
    <row r="110" spans="1:13" s="79" customFormat="1" ht="22.5" x14ac:dyDescent="0.2">
      <c r="A110" s="83" t="s">
        <v>151</v>
      </c>
      <c r="B110" s="67" t="s">
        <v>181</v>
      </c>
      <c r="C110" s="68" t="s">
        <v>186</v>
      </c>
      <c r="D110" s="67" t="s">
        <v>188</v>
      </c>
      <c r="E110" s="73" t="s">
        <v>214</v>
      </c>
      <c r="F110" s="68" t="s">
        <v>152</v>
      </c>
      <c r="G110" s="131">
        <f>G111</f>
        <v>95</v>
      </c>
      <c r="H110" s="170"/>
      <c r="I110" s="151"/>
      <c r="J110" s="151"/>
      <c r="K110" s="151"/>
      <c r="L110" s="151"/>
      <c r="M110" s="151"/>
    </row>
    <row r="111" spans="1:13" s="79" customFormat="1" ht="22.5" x14ac:dyDescent="0.2">
      <c r="A111" s="115" t="s">
        <v>153</v>
      </c>
      <c r="B111" s="67" t="s">
        <v>181</v>
      </c>
      <c r="C111" s="68" t="s">
        <v>186</v>
      </c>
      <c r="D111" s="67" t="s">
        <v>188</v>
      </c>
      <c r="E111" s="73" t="s">
        <v>214</v>
      </c>
      <c r="F111" s="68" t="s">
        <v>154</v>
      </c>
      <c r="G111" s="131">
        <v>95</v>
      </c>
      <c r="H111" s="166"/>
      <c r="I111" s="151"/>
      <c r="J111" s="151"/>
      <c r="K111" s="151"/>
      <c r="L111" s="151"/>
      <c r="M111" s="151"/>
    </row>
    <row r="112" spans="1:13" x14ac:dyDescent="0.2">
      <c r="A112" s="75" t="s">
        <v>197</v>
      </c>
      <c r="B112" s="73" t="s">
        <v>181</v>
      </c>
      <c r="C112" s="73" t="s">
        <v>186</v>
      </c>
      <c r="D112" s="73" t="s">
        <v>188</v>
      </c>
      <c r="E112" s="73" t="s">
        <v>214</v>
      </c>
      <c r="F112" s="73" t="s">
        <v>198</v>
      </c>
      <c r="G112" s="139">
        <f>G113</f>
        <v>4995.3</v>
      </c>
      <c r="H112" s="170"/>
    </row>
    <row r="113" spans="1:13" s="79" customFormat="1" ht="11.25" x14ac:dyDescent="0.2">
      <c r="A113" s="75" t="s">
        <v>199</v>
      </c>
      <c r="B113" s="73" t="s">
        <v>181</v>
      </c>
      <c r="C113" s="73" t="s">
        <v>186</v>
      </c>
      <c r="D113" s="73" t="s">
        <v>188</v>
      </c>
      <c r="E113" s="73" t="s">
        <v>214</v>
      </c>
      <c r="F113" s="78">
        <v>310</v>
      </c>
      <c r="G113" s="139">
        <f>G114</f>
        <v>4995.3</v>
      </c>
      <c r="H113" s="170"/>
      <c r="I113" s="151"/>
      <c r="J113" s="151"/>
      <c r="K113" s="151"/>
      <c r="L113" s="151"/>
      <c r="M113" s="151"/>
    </row>
    <row r="114" spans="1:13" s="79" customFormat="1" ht="22.5" x14ac:dyDescent="0.2">
      <c r="A114" s="70" t="s">
        <v>200</v>
      </c>
      <c r="B114" s="73" t="s">
        <v>181</v>
      </c>
      <c r="C114" s="73" t="s">
        <v>186</v>
      </c>
      <c r="D114" s="73" t="s">
        <v>188</v>
      </c>
      <c r="E114" s="73" t="s">
        <v>214</v>
      </c>
      <c r="F114" s="78">
        <v>313</v>
      </c>
      <c r="G114" s="139">
        <v>4995.3</v>
      </c>
      <c r="H114" s="166"/>
      <c r="I114" s="151"/>
      <c r="J114" s="151"/>
      <c r="K114" s="151"/>
      <c r="L114" s="151"/>
      <c r="M114" s="151"/>
    </row>
    <row r="115" spans="1:13" ht="33.75" x14ac:dyDescent="0.2">
      <c r="A115" s="75" t="s">
        <v>215</v>
      </c>
      <c r="B115" s="73" t="s">
        <v>181</v>
      </c>
      <c r="C115" s="73" t="s">
        <v>186</v>
      </c>
      <c r="D115" s="73" t="s">
        <v>188</v>
      </c>
      <c r="E115" s="73" t="s">
        <v>216</v>
      </c>
      <c r="F115" s="73"/>
      <c r="G115" s="139">
        <f>G116</f>
        <v>35.4</v>
      </c>
      <c r="H115" s="166"/>
    </row>
    <row r="116" spans="1:13" ht="33.75" x14ac:dyDescent="0.2">
      <c r="A116" s="314" t="s">
        <v>71</v>
      </c>
      <c r="B116" s="315" t="s">
        <v>181</v>
      </c>
      <c r="C116" s="315" t="s">
        <v>186</v>
      </c>
      <c r="D116" s="315" t="s">
        <v>188</v>
      </c>
      <c r="E116" s="315" t="s">
        <v>217</v>
      </c>
      <c r="F116" s="315"/>
      <c r="G116" s="316">
        <f>G117</f>
        <v>35.4</v>
      </c>
      <c r="H116" s="166"/>
    </row>
    <row r="117" spans="1:13" x14ac:dyDescent="0.2">
      <c r="A117" s="75" t="s">
        <v>197</v>
      </c>
      <c r="B117" s="73" t="s">
        <v>181</v>
      </c>
      <c r="C117" s="73" t="s">
        <v>186</v>
      </c>
      <c r="D117" s="73" t="s">
        <v>188</v>
      </c>
      <c r="E117" s="73" t="s">
        <v>217</v>
      </c>
      <c r="F117" s="73" t="s">
        <v>198</v>
      </c>
      <c r="G117" s="139">
        <f>G118</f>
        <v>35.4</v>
      </c>
      <c r="H117" s="170"/>
    </row>
    <row r="118" spans="1:13" s="79" customFormat="1" ht="11.25" x14ac:dyDescent="0.2">
      <c r="A118" s="75" t="s">
        <v>199</v>
      </c>
      <c r="B118" s="73" t="s">
        <v>181</v>
      </c>
      <c r="C118" s="73" t="s">
        <v>186</v>
      </c>
      <c r="D118" s="73" t="s">
        <v>188</v>
      </c>
      <c r="E118" s="73" t="s">
        <v>217</v>
      </c>
      <c r="F118" s="78">
        <v>310</v>
      </c>
      <c r="G118" s="139">
        <f>G119</f>
        <v>35.4</v>
      </c>
      <c r="H118" s="170"/>
      <c r="I118" s="151"/>
      <c r="J118" s="151"/>
      <c r="K118" s="151"/>
      <c r="L118" s="151"/>
      <c r="M118" s="151"/>
    </row>
    <row r="119" spans="1:13" s="79" customFormat="1" ht="22.5" x14ac:dyDescent="0.2">
      <c r="A119" s="70" t="s">
        <v>200</v>
      </c>
      <c r="B119" s="73" t="s">
        <v>181</v>
      </c>
      <c r="C119" s="73" t="s">
        <v>186</v>
      </c>
      <c r="D119" s="73" t="s">
        <v>188</v>
      </c>
      <c r="E119" s="73" t="s">
        <v>217</v>
      </c>
      <c r="F119" s="78">
        <v>313</v>
      </c>
      <c r="G119" s="139">
        <v>35.4</v>
      </c>
      <c r="H119" s="170"/>
      <c r="I119" s="151"/>
      <c r="J119" s="151"/>
      <c r="K119" s="151"/>
      <c r="L119" s="151"/>
      <c r="M119" s="151"/>
    </row>
    <row r="120" spans="1:13" s="79" customFormat="1" ht="22.5" x14ac:dyDescent="0.2">
      <c r="A120" s="66" t="s">
        <v>218</v>
      </c>
      <c r="B120" s="73" t="s">
        <v>181</v>
      </c>
      <c r="C120" s="73" t="s">
        <v>186</v>
      </c>
      <c r="D120" s="73" t="s">
        <v>188</v>
      </c>
      <c r="E120" s="73" t="s">
        <v>219</v>
      </c>
      <c r="F120" s="78"/>
      <c r="G120" s="139">
        <f>G121</f>
        <v>4161</v>
      </c>
      <c r="H120" s="170"/>
      <c r="I120" s="151"/>
      <c r="J120" s="151"/>
      <c r="K120" s="151"/>
      <c r="L120" s="151"/>
      <c r="M120" s="151"/>
    </row>
    <row r="121" spans="1:13" s="81" customFormat="1" ht="22.5" x14ac:dyDescent="0.2">
      <c r="A121" s="318" t="s">
        <v>70</v>
      </c>
      <c r="B121" s="315" t="s">
        <v>181</v>
      </c>
      <c r="C121" s="315" t="s">
        <v>186</v>
      </c>
      <c r="D121" s="315" t="s">
        <v>188</v>
      </c>
      <c r="E121" s="306" t="s">
        <v>220</v>
      </c>
      <c r="F121" s="306"/>
      <c r="G121" s="307">
        <f>G125+G122</f>
        <v>4161</v>
      </c>
      <c r="H121" s="170"/>
      <c r="I121" s="152"/>
      <c r="J121" s="152"/>
      <c r="K121" s="152"/>
      <c r="L121" s="152"/>
      <c r="M121" s="152"/>
    </row>
    <row r="122" spans="1:13" s="81" customFormat="1" ht="11.25" x14ac:dyDescent="0.2">
      <c r="A122" s="83" t="s">
        <v>650</v>
      </c>
      <c r="B122" s="67" t="s">
        <v>181</v>
      </c>
      <c r="C122" s="68" t="s">
        <v>186</v>
      </c>
      <c r="D122" s="67" t="s">
        <v>188</v>
      </c>
      <c r="E122" s="68" t="s">
        <v>220</v>
      </c>
      <c r="F122" s="68" t="s">
        <v>150</v>
      </c>
      <c r="G122" s="131">
        <f>SUM(G123)</f>
        <v>83</v>
      </c>
      <c r="H122" s="170"/>
      <c r="I122" s="152"/>
      <c r="J122" s="152"/>
      <c r="K122" s="152"/>
      <c r="L122" s="152"/>
      <c r="M122" s="152"/>
    </row>
    <row r="123" spans="1:13" s="79" customFormat="1" ht="22.5" x14ac:dyDescent="0.2">
      <c r="A123" s="83" t="s">
        <v>151</v>
      </c>
      <c r="B123" s="67" t="s">
        <v>181</v>
      </c>
      <c r="C123" s="68" t="s">
        <v>186</v>
      </c>
      <c r="D123" s="67" t="s">
        <v>188</v>
      </c>
      <c r="E123" s="68" t="s">
        <v>220</v>
      </c>
      <c r="F123" s="68" t="s">
        <v>152</v>
      </c>
      <c r="G123" s="131">
        <f>G124</f>
        <v>83</v>
      </c>
      <c r="H123" s="170"/>
      <c r="I123" s="151"/>
      <c r="J123" s="151"/>
      <c r="K123" s="151"/>
      <c r="L123" s="151"/>
      <c r="M123" s="151"/>
    </row>
    <row r="124" spans="1:13" s="79" customFormat="1" ht="22.5" x14ac:dyDescent="0.2">
      <c r="A124" s="115" t="s">
        <v>153</v>
      </c>
      <c r="B124" s="67" t="s">
        <v>181</v>
      </c>
      <c r="C124" s="68" t="s">
        <v>186</v>
      </c>
      <c r="D124" s="67" t="s">
        <v>188</v>
      </c>
      <c r="E124" s="68" t="s">
        <v>220</v>
      </c>
      <c r="F124" s="68" t="s">
        <v>154</v>
      </c>
      <c r="G124" s="131">
        <v>83</v>
      </c>
      <c r="H124" s="170"/>
      <c r="I124" s="151"/>
      <c r="J124" s="151"/>
      <c r="K124" s="151"/>
      <c r="L124" s="151"/>
      <c r="M124" s="151"/>
    </row>
    <row r="125" spans="1:13" s="79" customFormat="1" ht="11.25" x14ac:dyDescent="0.2">
      <c r="A125" s="75" t="s">
        <v>197</v>
      </c>
      <c r="B125" s="73" t="s">
        <v>181</v>
      </c>
      <c r="C125" s="73" t="s">
        <v>186</v>
      </c>
      <c r="D125" s="73" t="s">
        <v>188</v>
      </c>
      <c r="E125" s="68" t="s">
        <v>220</v>
      </c>
      <c r="F125" s="73" t="s">
        <v>198</v>
      </c>
      <c r="G125" s="139">
        <f>G127</f>
        <v>4078</v>
      </c>
      <c r="H125" s="170"/>
      <c r="I125" s="151"/>
      <c r="J125" s="151"/>
      <c r="K125" s="151"/>
      <c r="L125" s="151"/>
      <c r="M125" s="151"/>
    </row>
    <row r="126" spans="1:13" s="79" customFormat="1" ht="11.25" x14ac:dyDescent="0.2">
      <c r="A126" s="75" t="s">
        <v>199</v>
      </c>
      <c r="B126" s="73" t="s">
        <v>181</v>
      </c>
      <c r="C126" s="73" t="s">
        <v>186</v>
      </c>
      <c r="D126" s="73" t="s">
        <v>188</v>
      </c>
      <c r="E126" s="68" t="s">
        <v>220</v>
      </c>
      <c r="F126" s="78">
        <v>310</v>
      </c>
      <c r="G126" s="139">
        <f>G127</f>
        <v>4078</v>
      </c>
      <c r="H126" s="166"/>
      <c r="I126" s="151"/>
      <c r="J126" s="151"/>
      <c r="K126" s="151"/>
      <c r="L126" s="151"/>
      <c r="M126" s="151"/>
    </row>
    <row r="127" spans="1:13" ht="22.5" x14ac:dyDescent="0.2">
      <c r="A127" s="70" t="s">
        <v>200</v>
      </c>
      <c r="B127" s="73" t="s">
        <v>181</v>
      </c>
      <c r="C127" s="73" t="s">
        <v>186</v>
      </c>
      <c r="D127" s="73" t="s">
        <v>188</v>
      </c>
      <c r="E127" s="68" t="s">
        <v>220</v>
      </c>
      <c r="F127" s="78">
        <v>313</v>
      </c>
      <c r="G127" s="139">
        <v>4078</v>
      </c>
      <c r="H127" s="166"/>
    </row>
    <row r="128" spans="1:13" s="79" customFormat="1" ht="11.25" x14ac:dyDescent="0.2">
      <c r="A128" s="212" t="s">
        <v>275</v>
      </c>
      <c r="B128" s="213" t="s">
        <v>181</v>
      </c>
      <c r="C128" s="213" t="s">
        <v>186</v>
      </c>
      <c r="D128" s="213" t="s">
        <v>160</v>
      </c>
      <c r="E128" s="96"/>
      <c r="F128" s="215"/>
      <c r="G128" s="216">
        <f>G129</f>
        <v>33080.1</v>
      </c>
      <c r="H128" s="170"/>
      <c r="I128" s="151"/>
      <c r="J128" s="151"/>
      <c r="K128" s="151"/>
      <c r="L128" s="151"/>
      <c r="M128" s="151"/>
    </row>
    <row r="129" spans="1:13" s="79" customFormat="1" ht="45" x14ac:dyDescent="0.2">
      <c r="A129" s="66" t="s">
        <v>201</v>
      </c>
      <c r="B129" s="73" t="s">
        <v>181</v>
      </c>
      <c r="C129" s="73" t="s">
        <v>186</v>
      </c>
      <c r="D129" s="73" t="s">
        <v>160</v>
      </c>
      <c r="E129" s="73" t="s">
        <v>202</v>
      </c>
      <c r="F129" s="78"/>
      <c r="G129" s="139">
        <f>G130</f>
        <v>33080.1</v>
      </c>
      <c r="H129" s="170"/>
      <c r="I129" s="214"/>
      <c r="J129" s="151"/>
      <c r="K129" s="151"/>
      <c r="L129" s="151"/>
      <c r="M129" s="151"/>
    </row>
    <row r="130" spans="1:13" s="79" customFormat="1" ht="78.75" x14ac:dyDescent="0.2">
      <c r="A130" s="324" t="s">
        <v>659</v>
      </c>
      <c r="B130" s="315" t="s">
        <v>181</v>
      </c>
      <c r="C130" s="315" t="s">
        <v>186</v>
      </c>
      <c r="D130" s="315" t="s">
        <v>160</v>
      </c>
      <c r="E130" s="315" t="s">
        <v>203</v>
      </c>
      <c r="F130" s="306"/>
      <c r="G130" s="307">
        <f>G131</f>
        <v>33080.1</v>
      </c>
      <c r="H130" s="170"/>
      <c r="I130" s="151"/>
      <c r="J130" s="151"/>
      <c r="K130" s="151"/>
      <c r="L130" s="151"/>
      <c r="M130" s="151"/>
    </row>
    <row r="131" spans="1:13" s="79" customFormat="1" ht="11.25" x14ac:dyDescent="0.2">
      <c r="A131" s="75" t="s">
        <v>197</v>
      </c>
      <c r="B131" s="73" t="s">
        <v>181</v>
      </c>
      <c r="C131" s="73" t="s">
        <v>186</v>
      </c>
      <c r="D131" s="73" t="s">
        <v>160</v>
      </c>
      <c r="E131" s="73" t="s">
        <v>203</v>
      </c>
      <c r="F131" s="73" t="s">
        <v>198</v>
      </c>
      <c r="G131" s="139">
        <f>G133</f>
        <v>33080.1</v>
      </c>
      <c r="H131" s="170"/>
      <c r="I131" s="151"/>
      <c r="J131" s="151"/>
      <c r="K131" s="151"/>
      <c r="L131" s="151"/>
      <c r="M131" s="151"/>
    </row>
    <row r="132" spans="1:13" s="79" customFormat="1" ht="11.25" x14ac:dyDescent="0.2">
      <c r="A132" s="75" t="s">
        <v>199</v>
      </c>
      <c r="B132" s="73" t="s">
        <v>181</v>
      </c>
      <c r="C132" s="73" t="s">
        <v>186</v>
      </c>
      <c r="D132" s="73" t="s">
        <v>160</v>
      </c>
      <c r="E132" s="73" t="s">
        <v>203</v>
      </c>
      <c r="F132" s="78">
        <v>310</v>
      </c>
      <c r="G132" s="139">
        <f>G133</f>
        <v>33080.1</v>
      </c>
      <c r="H132" s="170"/>
      <c r="I132" s="151"/>
      <c r="J132" s="151"/>
      <c r="K132" s="151"/>
      <c r="L132" s="151"/>
      <c r="M132" s="151"/>
    </row>
    <row r="133" spans="1:13" s="79" customFormat="1" ht="22.5" x14ac:dyDescent="0.2">
      <c r="A133" s="70" t="s">
        <v>200</v>
      </c>
      <c r="B133" s="73" t="s">
        <v>181</v>
      </c>
      <c r="C133" s="73" t="s">
        <v>186</v>
      </c>
      <c r="D133" s="73" t="s">
        <v>160</v>
      </c>
      <c r="E133" s="73" t="s">
        <v>203</v>
      </c>
      <c r="F133" s="78">
        <v>313</v>
      </c>
      <c r="G133" s="139">
        <v>33080.1</v>
      </c>
      <c r="H133" s="166"/>
      <c r="I133" s="151"/>
      <c r="J133" s="151"/>
      <c r="K133" s="151"/>
      <c r="L133" s="151"/>
      <c r="M133" s="151"/>
    </row>
    <row r="134" spans="1:13" s="79" customFormat="1" ht="11.25" x14ac:dyDescent="0.2">
      <c r="A134" s="61" t="s">
        <v>221</v>
      </c>
      <c r="B134" s="94" t="s">
        <v>181</v>
      </c>
      <c r="C134" s="96" t="s">
        <v>186</v>
      </c>
      <c r="D134" s="94" t="s">
        <v>222</v>
      </c>
      <c r="E134" s="96" t="s">
        <v>183</v>
      </c>
      <c r="F134" s="96" t="s">
        <v>184</v>
      </c>
      <c r="G134" s="138">
        <f>G135+G142</f>
        <v>3155.5000000000005</v>
      </c>
      <c r="H134" s="166"/>
      <c r="I134" s="151"/>
      <c r="J134" s="151"/>
      <c r="K134" s="151"/>
      <c r="L134" s="151"/>
      <c r="M134" s="151"/>
    </row>
    <row r="135" spans="1:13" s="79" customFormat="1" ht="22.5" x14ac:dyDescent="0.2">
      <c r="A135" s="66" t="s">
        <v>189</v>
      </c>
      <c r="B135" s="67" t="s">
        <v>181</v>
      </c>
      <c r="C135" s="68">
        <v>10</v>
      </c>
      <c r="D135" s="67" t="s">
        <v>222</v>
      </c>
      <c r="E135" s="68" t="s">
        <v>190</v>
      </c>
      <c r="F135" s="68"/>
      <c r="G135" s="131">
        <f t="shared" ref="G135:G140" si="0">G136</f>
        <v>560.9</v>
      </c>
      <c r="H135" s="166"/>
      <c r="I135" s="214"/>
      <c r="J135" s="151"/>
      <c r="K135" s="151"/>
      <c r="L135" s="151"/>
      <c r="M135" s="151"/>
    </row>
    <row r="136" spans="1:13" s="79" customFormat="1" ht="22.5" x14ac:dyDescent="0.2">
      <c r="A136" s="66" t="s">
        <v>191</v>
      </c>
      <c r="B136" s="67" t="s">
        <v>181</v>
      </c>
      <c r="C136" s="68" t="s">
        <v>186</v>
      </c>
      <c r="D136" s="67" t="s">
        <v>222</v>
      </c>
      <c r="E136" s="68" t="s">
        <v>192</v>
      </c>
      <c r="F136" s="68"/>
      <c r="G136" s="131">
        <f t="shared" si="0"/>
        <v>560.9</v>
      </c>
      <c r="H136" s="166"/>
      <c r="I136" s="151"/>
      <c r="J136" s="151"/>
      <c r="K136" s="151"/>
      <c r="L136" s="151"/>
      <c r="M136" s="151"/>
    </row>
    <row r="137" spans="1:13" s="79" customFormat="1" ht="33.75" x14ac:dyDescent="0.2">
      <c r="A137" s="66" t="s">
        <v>223</v>
      </c>
      <c r="B137" s="67" t="s">
        <v>181</v>
      </c>
      <c r="C137" s="68" t="s">
        <v>186</v>
      </c>
      <c r="D137" s="67" t="s">
        <v>222</v>
      </c>
      <c r="E137" s="68" t="s">
        <v>224</v>
      </c>
      <c r="F137" s="68" t="s">
        <v>184</v>
      </c>
      <c r="G137" s="131">
        <f t="shared" si="0"/>
        <v>560.9</v>
      </c>
      <c r="H137" s="166"/>
      <c r="I137" s="151"/>
      <c r="J137" s="151"/>
      <c r="K137" s="151"/>
      <c r="L137" s="151"/>
      <c r="M137" s="151"/>
    </row>
    <row r="138" spans="1:13" s="79" customFormat="1" ht="25.5" x14ac:dyDescent="0.2">
      <c r="A138" s="323" t="s">
        <v>658</v>
      </c>
      <c r="B138" s="305" t="s">
        <v>181</v>
      </c>
      <c r="C138" s="306" t="s">
        <v>186</v>
      </c>
      <c r="D138" s="305" t="s">
        <v>222</v>
      </c>
      <c r="E138" s="306" t="s">
        <v>225</v>
      </c>
      <c r="F138" s="306" t="s">
        <v>184</v>
      </c>
      <c r="G138" s="307">
        <f t="shared" si="0"/>
        <v>560.9</v>
      </c>
      <c r="H138" s="166"/>
      <c r="I138" s="151"/>
      <c r="J138" s="151"/>
      <c r="K138" s="151"/>
      <c r="L138" s="151"/>
      <c r="M138" s="151"/>
    </row>
    <row r="139" spans="1:13" s="79" customFormat="1" ht="11.25" x14ac:dyDescent="0.2">
      <c r="A139" s="83" t="s">
        <v>650</v>
      </c>
      <c r="B139" s="67" t="s">
        <v>181</v>
      </c>
      <c r="C139" s="68" t="s">
        <v>186</v>
      </c>
      <c r="D139" s="67" t="s">
        <v>222</v>
      </c>
      <c r="E139" s="68" t="s">
        <v>225</v>
      </c>
      <c r="F139" s="68" t="s">
        <v>150</v>
      </c>
      <c r="G139" s="131">
        <f t="shared" si="0"/>
        <v>560.9</v>
      </c>
      <c r="H139" s="166"/>
      <c r="I139" s="151"/>
      <c r="J139" s="151"/>
      <c r="K139" s="151"/>
      <c r="L139" s="151"/>
      <c r="M139" s="151"/>
    </row>
    <row r="140" spans="1:13" ht="22.5" x14ac:dyDescent="0.2">
      <c r="A140" s="83" t="s">
        <v>151</v>
      </c>
      <c r="B140" s="67" t="s">
        <v>181</v>
      </c>
      <c r="C140" s="68" t="s">
        <v>186</v>
      </c>
      <c r="D140" s="67" t="s">
        <v>222</v>
      </c>
      <c r="E140" s="68" t="s">
        <v>225</v>
      </c>
      <c r="F140" s="68" t="s">
        <v>152</v>
      </c>
      <c r="G140" s="131">
        <f t="shared" si="0"/>
        <v>560.9</v>
      </c>
      <c r="H140" s="166"/>
      <c r="I140" s="148"/>
    </row>
    <row r="141" spans="1:13" ht="22.5" x14ac:dyDescent="0.2">
      <c r="A141" s="115" t="s">
        <v>153</v>
      </c>
      <c r="B141" s="67" t="s">
        <v>181</v>
      </c>
      <c r="C141" s="68" t="s">
        <v>186</v>
      </c>
      <c r="D141" s="67" t="s">
        <v>222</v>
      </c>
      <c r="E141" s="68" t="s">
        <v>225</v>
      </c>
      <c r="F141" s="68" t="s">
        <v>154</v>
      </c>
      <c r="G141" s="131">
        <v>560.9</v>
      </c>
      <c r="H141" s="166"/>
      <c r="I141" s="148"/>
    </row>
    <row r="142" spans="1:13" x14ac:dyDescent="0.2">
      <c r="A142" s="66" t="s">
        <v>226</v>
      </c>
      <c r="B142" s="67" t="s">
        <v>181</v>
      </c>
      <c r="C142" s="68" t="s">
        <v>186</v>
      </c>
      <c r="D142" s="67" t="s">
        <v>222</v>
      </c>
      <c r="E142" s="68" t="s">
        <v>227</v>
      </c>
      <c r="F142" s="68"/>
      <c r="G142" s="131">
        <f>G143+G157</f>
        <v>2594.6000000000004</v>
      </c>
      <c r="H142" s="166"/>
    </row>
    <row r="143" spans="1:13" ht="22.5" x14ac:dyDescent="0.2">
      <c r="A143" s="66" t="s">
        <v>228</v>
      </c>
      <c r="B143" s="67" t="s">
        <v>181</v>
      </c>
      <c r="C143" s="68" t="s">
        <v>186</v>
      </c>
      <c r="D143" s="67" t="s">
        <v>222</v>
      </c>
      <c r="E143" s="68" t="s">
        <v>229</v>
      </c>
      <c r="F143" s="68" t="s">
        <v>184</v>
      </c>
      <c r="G143" s="131">
        <f>G144+G149+G153</f>
        <v>2494.6000000000004</v>
      </c>
      <c r="H143" s="166"/>
    </row>
    <row r="144" spans="1:13" ht="22.5" x14ac:dyDescent="0.2">
      <c r="A144" s="82" t="s">
        <v>230</v>
      </c>
      <c r="B144" s="67" t="s">
        <v>181</v>
      </c>
      <c r="C144" s="68">
        <v>10</v>
      </c>
      <c r="D144" s="67" t="s">
        <v>222</v>
      </c>
      <c r="E144" s="68" t="s">
        <v>231</v>
      </c>
      <c r="F144" s="68" t="s">
        <v>184</v>
      </c>
      <c r="G144" s="131">
        <f>G145</f>
        <v>2181.8000000000002</v>
      </c>
      <c r="H144" s="166"/>
    </row>
    <row r="145" spans="1:9" ht="33.75" x14ac:dyDescent="0.2">
      <c r="A145" s="83" t="s">
        <v>139</v>
      </c>
      <c r="B145" s="67" t="s">
        <v>181</v>
      </c>
      <c r="C145" s="68">
        <v>10</v>
      </c>
      <c r="D145" s="67" t="s">
        <v>222</v>
      </c>
      <c r="E145" s="68" t="s">
        <v>231</v>
      </c>
      <c r="F145" s="68" t="s">
        <v>140</v>
      </c>
      <c r="G145" s="131">
        <f>G146</f>
        <v>2181.8000000000002</v>
      </c>
      <c r="H145" s="166"/>
    </row>
    <row r="146" spans="1:9" x14ac:dyDescent="0.2">
      <c r="A146" s="83" t="s">
        <v>168</v>
      </c>
      <c r="B146" s="67" t="s">
        <v>181</v>
      </c>
      <c r="C146" s="68">
        <v>10</v>
      </c>
      <c r="D146" s="67" t="s">
        <v>222</v>
      </c>
      <c r="E146" s="68" t="s">
        <v>231</v>
      </c>
      <c r="F146" s="68" t="s">
        <v>232</v>
      </c>
      <c r="G146" s="131">
        <f>G147+G148</f>
        <v>2181.8000000000002</v>
      </c>
      <c r="H146" s="166"/>
    </row>
    <row r="147" spans="1:9" x14ac:dyDescent="0.2">
      <c r="A147" s="114" t="s">
        <v>169</v>
      </c>
      <c r="B147" s="67" t="s">
        <v>181</v>
      </c>
      <c r="C147" s="68">
        <v>10</v>
      </c>
      <c r="D147" s="67" t="s">
        <v>222</v>
      </c>
      <c r="E147" s="68" t="s">
        <v>231</v>
      </c>
      <c r="F147" s="68" t="s">
        <v>233</v>
      </c>
      <c r="G147" s="131">
        <v>1675.8</v>
      </c>
      <c r="H147" s="166"/>
    </row>
    <row r="148" spans="1:9" ht="33.75" x14ac:dyDescent="0.2">
      <c r="A148" s="114" t="s">
        <v>170</v>
      </c>
      <c r="B148" s="67" t="s">
        <v>181</v>
      </c>
      <c r="C148" s="68">
        <v>10</v>
      </c>
      <c r="D148" s="67" t="s">
        <v>222</v>
      </c>
      <c r="E148" s="68" t="s">
        <v>231</v>
      </c>
      <c r="F148" s="68">
        <v>129</v>
      </c>
      <c r="G148" s="131">
        <v>506</v>
      </c>
      <c r="H148" s="166"/>
      <c r="I148" s="148"/>
    </row>
    <row r="149" spans="1:9" x14ac:dyDescent="0.2">
      <c r="A149" s="83" t="s">
        <v>650</v>
      </c>
      <c r="B149" s="67" t="s">
        <v>181</v>
      </c>
      <c r="C149" s="68">
        <v>10</v>
      </c>
      <c r="D149" s="67" t="s">
        <v>222</v>
      </c>
      <c r="E149" s="68" t="s">
        <v>234</v>
      </c>
      <c r="F149" s="68" t="s">
        <v>150</v>
      </c>
      <c r="G149" s="131">
        <f>G150</f>
        <v>292.8</v>
      </c>
      <c r="H149" s="166"/>
      <c r="I149" s="148"/>
    </row>
    <row r="150" spans="1:9" ht="22.5" x14ac:dyDescent="0.2">
      <c r="A150" s="83" t="s">
        <v>151</v>
      </c>
      <c r="B150" s="67" t="s">
        <v>181</v>
      </c>
      <c r="C150" s="68">
        <v>10</v>
      </c>
      <c r="D150" s="67" t="s">
        <v>222</v>
      </c>
      <c r="E150" s="68" t="s">
        <v>234</v>
      </c>
      <c r="F150" s="68" t="s">
        <v>152</v>
      </c>
      <c r="G150" s="131">
        <f>G152+G151</f>
        <v>292.8</v>
      </c>
      <c r="H150" s="166"/>
    </row>
    <row r="151" spans="1:9" ht="22.5" x14ac:dyDescent="0.2">
      <c r="A151" s="115" t="s">
        <v>171</v>
      </c>
      <c r="B151" s="67" t="s">
        <v>181</v>
      </c>
      <c r="C151" s="68">
        <v>10</v>
      </c>
      <c r="D151" s="67" t="s">
        <v>222</v>
      </c>
      <c r="E151" s="68" t="s">
        <v>234</v>
      </c>
      <c r="F151" s="68">
        <v>242</v>
      </c>
      <c r="G151" s="131">
        <v>80</v>
      </c>
      <c r="H151" s="166"/>
    </row>
    <row r="152" spans="1:9" ht="22.5" x14ac:dyDescent="0.2">
      <c r="A152" s="115" t="s">
        <v>153</v>
      </c>
      <c r="B152" s="67" t="s">
        <v>181</v>
      </c>
      <c r="C152" s="68">
        <v>10</v>
      </c>
      <c r="D152" s="67" t="s">
        <v>222</v>
      </c>
      <c r="E152" s="68" t="s">
        <v>234</v>
      </c>
      <c r="F152" s="68" t="s">
        <v>154</v>
      </c>
      <c r="G152" s="131">
        <v>212.8</v>
      </c>
      <c r="H152" s="166"/>
    </row>
    <row r="153" spans="1:9" x14ac:dyDescent="0.2">
      <c r="A153" s="70" t="s">
        <v>172</v>
      </c>
      <c r="B153" s="67" t="s">
        <v>181</v>
      </c>
      <c r="C153" s="68">
        <v>10</v>
      </c>
      <c r="D153" s="67" t="s">
        <v>222</v>
      </c>
      <c r="E153" s="68" t="s">
        <v>234</v>
      </c>
      <c r="F153" s="68" t="s">
        <v>235</v>
      </c>
      <c r="G153" s="131">
        <f>G154</f>
        <v>20</v>
      </c>
      <c r="H153" s="166"/>
    </row>
    <row r="154" spans="1:9" x14ac:dyDescent="0.2">
      <c r="A154" s="70" t="s">
        <v>173</v>
      </c>
      <c r="B154" s="67" t="s">
        <v>181</v>
      </c>
      <c r="C154" s="68">
        <v>10</v>
      </c>
      <c r="D154" s="67" t="s">
        <v>222</v>
      </c>
      <c r="E154" s="68" t="s">
        <v>234</v>
      </c>
      <c r="F154" s="68" t="s">
        <v>174</v>
      </c>
      <c r="G154" s="131">
        <f>G155+G156</f>
        <v>20</v>
      </c>
      <c r="H154" s="166"/>
    </row>
    <row r="155" spans="1:9" x14ac:dyDescent="0.2">
      <c r="A155" s="75" t="s">
        <v>175</v>
      </c>
      <c r="B155" s="67" t="s">
        <v>181</v>
      </c>
      <c r="C155" s="68">
        <v>10</v>
      </c>
      <c r="D155" s="67" t="s">
        <v>222</v>
      </c>
      <c r="E155" s="68" t="s">
        <v>234</v>
      </c>
      <c r="F155" s="68" t="s">
        <v>176</v>
      </c>
      <c r="G155" s="131">
        <v>16</v>
      </c>
      <c r="H155" s="166"/>
    </row>
    <row r="156" spans="1:9" x14ac:dyDescent="0.2">
      <c r="A156" s="70" t="s">
        <v>564</v>
      </c>
      <c r="B156" s="67" t="s">
        <v>181</v>
      </c>
      <c r="C156" s="68">
        <v>10</v>
      </c>
      <c r="D156" s="67" t="s">
        <v>222</v>
      </c>
      <c r="E156" s="68" t="s">
        <v>234</v>
      </c>
      <c r="F156" s="68">
        <v>853</v>
      </c>
      <c r="G156" s="131">
        <v>4</v>
      </c>
      <c r="H156" s="166"/>
    </row>
    <row r="157" spans="1:9" ht="22.5" x14ac:dyDescent="0.2">
      <c r="A157" s="83" t="s">
        <v>237</v>
      </c>
      <c r="B157" s="67" t="s">
        <v>181</v>
      </c>
      <c r="C157" s="68">
        <v>10</v>
      </c>
      <c r="D157" s="67" t="s">
        <v>222</v>
      </c>
      <c r="E157" s="68" t="s">
        <v>238</v>
      </c>
      <c r="F157" s="68"/>
      <c r="G157" s="131">
        <f>G158</f>
        <v>100</v>
      </c>
      <c r="H157" s="166"/>
    </row>
    <row r="158" spans="1:9" x14ac:dyDescent="0.2">
      <c r="A158" s="83" t="s">
        <v>650</v>
      </c>
      <c r="B158" s="67" t="s">
        <v>181</v>
      </c>
      <c r="C158" s="68">
        <v>10</v>
      </c>
      <c r="D158" s="67" t="s">
        <v>222</v>
      </c>
      <c r="E158" s="68" t="s">
        <v>238</v>
      </c>
      <c r="F158" s="68" t="s">
        <v>150</v>
      </c>
      <c r="G158" s="131">
        <f>G159</f>
        <v>100</v>
      </c>
      <c r="H158" s="166"/>
    </row>
    <row r="159" spans="1:9" ht="22.5" x14ac:dyDescent="0.2">
      <c r="A159" s="83" t="s">
        <v>151</v>
      </c>
      <c r="B159" s="67" t="s">
        <v>181</v>
      </c>
      <c r="C159" s="68">
        <v>10</v>
      </c>
      <c r="D159" s="67" t="s">
        <v>222</v>
      </c>
      <c r="E159" s="68" t="s">
        <v>238</v>
      </c>
      <c r="F159" s="68" t="s">
        <v>152</v>
      </c>
      <c r="G159" s="131">
        <f>G160</f>
        <v>100</v>
      </c>
      <c r="H159" s="166"/>
    </row>
    <row r="160" spans="1:9" ht="22.5" x14ac:dyDescent="0.2">
      <c r="A160" s="115" t="s">
        <v>153</v>
      </c>
      <c r="B160" s="67" t="s">
        <v>181</v>
      </c>
      <c r="C160" s="68">
        <v>10</v>
      </c>
      <c r="D160" s="67" t="s">
        <v>222</v>
      </c>
      <c r="E160" s="68" t="s">
        <v>238</v>
      </c>
      <c r="F160" s="68" t="s">
        <v>154</v>
      </c>
      <c r="G160" s="131">
        <v>100</v>
      </c>
      <c r="H160" s="166"/>
    </row>
    <row r="161" spans="1:9" ht="31.5" x14ac:dyDescent="0.2">
      <c r="A161" s="63" t="s">
        <v>239</v>
      </c>
      <c r="B161" s="77" t="s">
        <v>240</v>
      </c>
      <c r="C161" s="76" t="s">
        <v>182</v>
      </c>
      <c r="D161" s="77" t="s">
        <v>182</v>
      </c>
      <c r="E161" s="76" t="s">
        <v>183</v>
      </c>
      <c r="F161" s="76" t="s">
        <v>184</v>
      </c>
      <c r="G161" s="137">
        <f>G162+G293</f>
        <v>327117.50000000006</v>
      </c>
      <c r="H161" s="166"/>
      <c r="I161" s="148"/>
    </row>
    <row r="162" spans="1:9" x14ac:dyDescent="0.2">
      <c r="A162" s="61" t="s">
        <v>241</v>
      </c>
      <c r="B162" s="94" t="s">
        <v>240</v>
      </c>
      <c r="C162" s="96" t="s">
        <v>242</v>
      </c>
      <c r="D162" s="94" t="s">
        <v>182</v>
      </c>
      <c r="E162" s="96" t="s">
        <v>183</v>
      </c>
      <c r="F162" s="96" t="s">
        <v>184</v>
      </c>
      <c r="G162" s="138">
        <f>G163+G201+G244+G254+G263</f>
        <v>323487.80000000005</v>
      </c>
      <c r="H162" s="166"/>
      <c r="I162" s="148"/>
    </row>
    <row r="163" spans="1:9" x14ac:dyDescent="0.2">
      <c r="A163" s="61" t="s">
        <v>243</v>
      </c>
      <c r="B163" s="94" t="s">
        <v>240</v>
      </c>
      <c r="C163" s="96" t="s">
        <v>242</v>
      </c>
      <c r="D163" s="94" t="s">
        <v>122</v>
      </c>
      <c r="E163" s="96" t="s">
        <v>183</v>
      </c>
      <c r="F163" s="96" t="s">
        <v>184</v>
      </c>
      <c r="G163" s="138">
        <f>G164+G193</f>
        <v>80662.100000000006</v>
      </c>
      <c r="H163" s="166"/>
      <c r="I163" s="148"/>
    </row>
    <row r="164" spans="1:9" ht="21" x14ac:dyDescent="0.2">
      <c r="A164" s="61" t="s">
        <v>244</v>
      </c>
      <c r="B164" s="94" t="s">
        <v>240</v>
      </c>
      <c r="C164" s="96" t="s">
        <v>242</v>
      </c>
      <c r="D164" s="94" t="s">
        <v>122</v>
      </c>
      <c r="E164" s="96" t="s">
        <v>245</v>
      </c>
      <c r="F164" s="96"/>
      <c r="G164" s="138">
        <f>G165</f>
        <v>80375</v>
      </c>
      <c r="H164" s="166"/>
    </row>
    <row r="165" spans="1:9" x14ac:dyDescent="0.2">
      <c r="A165" s="83" t="s">
        <v>246</v>
      </c>
      <c r="B165" s="67" t="s">
        <v>240</v>
      </c>
      <c r="C165" s="68" t="s">
        <v>242</v>
      </c>
      <c r="D165" s="67" t="s">
        <v>122</v>
      </c>
      <c r="E165" s="84" t="s">
        <v>247</v>
      </c>
      <c r="F165" s="84" t="s">
        <v>184</v>
      </c>
      <c r="G165" s="135">
        <f>G182+G166</f>
        <v>80375</v>
      </c>
      <c r="H165" s="166"/>
    </row>
    <row r="166" spans="1:9" x14ac:dyDescent="0.2">
      <c r="A166" s="71" t="s">
        <v>127</v>
      </c>
      <c r="B166" s="67" t="s">
        <v>240</v>
      </c>
      <c r="C166" s="68" t="s">
        <v>242</v>
      </c>
      <c r="D166" s="67" t="s">
        <v>122</v>
      </c>
      <c r="E166" s="68" t="s">
        <v>248</v>
      </c>
      <c r="F166" s="68"/>
      <c r="G166" s="131">
        <f>G167+G171+G175+G178</f>
        <v>34675</v>
      </c>
      <c r="H166" s="166"/>
    </row>
    <row r="167" spans="1:9" ht="33.75" x14ac:dyDescent="0.2">
      <c r="A167" s="83" t="s">
        <v>139</v>
      </c>
      <c r="B167" s="67" t="s">
        <v>240</v>
      </c>
      <c r="C167" s="68" t="s">
        <v>242</v>
      </c>
      <c r="D167" s="67" t="s">
        <v>122</v>
      </c>
      <c r="E167" s="68" t="s">
        <v>248</v>
      </c>
      <c r="F167" s="68" t="s">
        <v>140</v>
      </c>
      <c r="G167" s="131">
        <f>G168</f>
        <v>4541.3999999999996</v>
      </c>
      <c r="H167" s="166"/>
      <c r="I167" s="148"/>
    </row>
    <row r="168" spans="1:9" x14ac:dyDescent="0.2">
      <c r="A168" s="83" t="s">
        <v>141</v>
      </c>
      <c r="B168" s="67" t="s">
        <v>240</v>
      </c>
      <c r="C168" s="68" t="s">
        <v>242</v>
      </c>
      <c r="D168" s="67" t="s">
        <v>122</v>
      </c>
      <c r="E168" s="68" t="s">
        <v>248</v>
      </c>
      <c r="F168" s="68">
        <v>110</v>
      </c>
      <c r="G168" s="131">
        <f>G169+G170</f>
        <v>4541.3999999999996</v>
      </c>
      <c r="H168" s="166"/>
    </row>
    <row r="169" spans="1:9" x14ac:dyDescent="0.2">
      <c r="A169" s="83" t="s">
        <v>142</v>
      </c>
      <c r="B169" s="67" t="s">
        <v>240</v>
      </c>
      <c r="C169" s="68" t="s">
        <v>242</v>
      </c>
      <c r="D169" s="67" t="s">
        <v>122</v>
      </c>
      <c r="E169" s="68" t="s">
        <v>248</v>
      </c>
      <c r="F169" s="68">
        <v>111</v>
      </c>
      <c r="G169" s="131">
        <v>3488</v>
      </c>
      <c r="H169" s="166"/>
    </row>
    <row r="170" spans="1:9" ht="22.5" x14ac:dyDescent="0.2">
      <c r="A170" s="114" t="s">
        <v>143</v>
      </c>
      <c r="B170" s="67" t="s">
        <v>240</v>
      </c>
      <c r="C170" s="68" t="s">
        <v>242</v>
      </c>
      <c r="D170" s="67" t="s">
        <v>122</v>
      </c>
      <c r="E170" s="68" t="s">
        <v>248</v>
      </c>
      <c r="F170" s="68">
        <v>119</v>
      </c>
      <c r="G170" s="131">
        <v>1053.4000000000001</v>
      </c>
      <c r="H170" s="171"/>
      <c r="I170" s="148"/>
    </row>
    <row r="171" spans="1:9" x14ac:dyDescent="0.2">
      <c r="A171" s="83" t="s">
        <v>650</v>
      </c>
      <c r="B171" s="67" t="s">
        <v>240</v>
      </c>
      <c r="C171" s="68" t="s">
        <v>242</v>
      </c>
      <c r="D171" s="67" t="s">
        <v>122</v>
      </c>
      <c r="E171" s="68" t="s">
        <v>248</v>
      </c>
      <c r="F171" s="68" t="s">
        <v>150</v>
      </c>
      <c r="G171" s="131">
        <f>G172</f>
        <v>1384.9</v>
      </c>
      <c r="H171" s="166"/>
      <c r="I171" s="148"/>
    </row>
    <row r="172" spans="1:9" ht="22.5" x14ac:dyDescent="0.2">
      <c r="A172" s="83" t="s">
        <v>151</v>
      </c>
      <c r="B172" s="67" t="s">
        <v>240</v>
      </c>
      <c r="C172" s="68" t="s">
        <v>242</v>
      </c>
      <c r="D172" s="67" t="s">
        <v>122</v>
      </c>
      <c r="E172" s="68" t="s">
        <v>248</v>
      </c>
      <c r="F172" s="68" t="s">
        <v>152</v>
      </c>
      <c r="G172" s="131">
        <f>G173+G174</f>
        <v>1384.9</v>
      </c>
      <c r="H172" s="166"/>
      <c r="I172" s="148"/>
    </row>
    <row r="173" spans="1:9" ht="22.5" x14ac:dyDescent="0.2">
      <c r="A173" s="115" t="s">
        <v>171</v>
      </c>
      <c r="B173" s="67" t="s">
        <v>240</v>
      </c>
      <c r="C173" s="68" t="s">
        <v>242</v>
      </c>
      <c r="D173" s="67" t="s">
        <v>122</v>
      </c>
      <c r="E173" s="68" t="s">
        <v>248</v>
      </c>
      <c r="F173" s="68">
        <v>242</v>
      </c>
      <c r="G173" s="131"/>
      <c r="H173" s="166"/>
    </row>
    <row r="174" spans="1:9" ht="22.5" x14ac:dyDescent="0.2">
      <c r="A174" s="115" t="s">
        <v>153</v>
      </c>
      <c r="B174" s="67" t="s">
        <v>240</v>
      </c>
      <c r="C174" s="68" t="s">
        <v>242</v>
      </c>
      <c r="D174" s="67" t="s">
        <v>122</v>
      </c>
      <c r="E174" s="68" t="s">
        <v>248</v>
      </c>
      <c r="F174" s="68" t="s">
        <v>154</v>
      </c>
      <c r="G174" s="131">
        <v>1384.9</v>
      </c>
      <c r="H174" s="166"/>
    </row>
    <row r="175" spans="1:9" ht="22.5" x14ac:dyDescent="0.2">
      <c r="A175" s="83" t="s">
        <v>129</v>
      </c>
      <c r="B175" s="67" t="s">
        <v>240</v>
      </c>
      <c r="C175" s="68" t="s">
        <v>242</v>
      </c>
      <c r="D175" s="67" t="s">
        <v>122</v>
      </c>
      <c r="E175" s="218" t="s">
        <v>248</v>
      </c>
      <c r="F175" s="68" t="s">
        <v>130</v>
      </c>
      <c r="G175" s="131">
        <f>G176</f>
        <v>28683.699999999997</v>
      </c>
      <c r="H175" s="166"/>
    </row>
    <row r="176" spans="1:9" x14ac:dyDescent="0.2">
      <c r="A176" s="83" t="s">
        <v>131</v>
      </c>
      <c r="B176" s="67" t="s">
        <v>240</v>
      </c>
      <c r="C176" s="68" t="s">
        <v>242</v>
      </c>
      <c r="D176" s="67" t="s">
        <v>122</v>
      </c>
      <c r="E176" s="218" t="s">
        <v>248</v>
      </c>
      <c r="F176" s="68" t="s">
        <v>132</v>
      </c>
      <c r="G176" s="131">
        <f>G177</f>
        <v>28683.699999999997</v>
      </c>
      <c r="H176" s="166"/>
    </row>
    <row r="177" spans="1:8" ht="33.75" x14ac:dyDescent="0.2">
      <c r="A177" s="83" t="s">
        <v>133</v>
      </c>
      <c r="B177" s="67" t="s">
        <v>240</v>
      </c>
      <c r="C177" s="68" t="s">
        <v>242</v>
      </c>
      <c r="D177" s="67" t="s">
        <v>122</v>
      </c>
      <c r="E177" s="218" t="s">
        <v>248</v>
      </c>
      <c r="F177" s="68" t="s">
        <v>134</v>
      </c>
      <c r="G177" s="131">
        <f>28683.6+0.1</f>
        <v>28683.699999999997</v>
      </c>
      <c r="H177" s="166"/>
    </row>
    <row r="178" spans="1:8" x14ac:dyDescent="0.2">
      <c r="A178" s="70" t="s">
        <v>172</v>
      </c>
      <c r="B178" s="67" t="s">
        <v>240</v>
      </c>
      <c r="C178" s="68" t="s">
        <v>242</v>
      </c>
      <c r="D178" s="67" t="s">
        <v>122</v>
      </c>
      <c r="E178" s="68" t="s">
        <v>248</v>
      </c>
      <c r="F178" s="68" t="s">
        <v>235</v>
      </c>
      <c r="G178" s="131">
        <f>G179</f>
        <v>65</v>
      </c>
      <c r="H178" s="166"/>
    </row>
    <row r="179" spans="1:8" x14ac:dyDescent="0.2">
      <c r="A179" s="70" t="s">
        <v>173</v>
      </c>
      <c r="B179" s="67" t="s">
        <v>240</v>
      </c>
      <c r="C179" s="68" t="s">
        <v>242</v>
      </c>
      <c r="D179" s="67" t="s">
        <v>122</v>
      </c>
      <c r="E179" s="68" t="s">
        <v>248</v>
      </c>
      <c r="F179" s="68" t="s">
        <v>174</v>
      </c>
      <c r="G179" s="131">
        <f>G180+G181</f>
        <v>65</v>
      </c>
      <c r="H179" s="166"/>
    </row>
    <row r="180" spans="1:8" x14ac:dyDescent="0.2">
      <c r="A180" s="75" t="s">
        <v>175</v>
      </c>
      <c r="B180" s="67" t="s">
        <v>240</v>
      </c>
      <c r="C180" s="68" t="s">
        <v>242</v>
      </c>
      <c r="D180" s="67" t="s">
        <v>122</v>
      </c>
      <c r="E180" s="68" t="s">
        <v>248</v>
      </c>
      <c r="F180" s="68" t="s">
        <v>176</v>
      </c>
      <c r="G180" s="131">
        <v>13</v>
      </c>
      <c r="H180" s="166"/>
    </row>
    <row r="181" spans="1:8" x14ac:dyDescent="0.2">
      <c r="A181" s="70" t="s">
        <v>564</v>
      </c>
      <c r="B181" s="67" t="s">
        <v>240</v>
      </c>
      <c r="C181" s="68" t="s">
        <v>242</v>
      </c>
      <c r="D181" s="67" t="s">
        <v>122</v>
      </c>
      <c r="E181" s="68" t="s">
        <v>248</v>
      </c>
      <c r="F181" s="68">
        <v>853</v>
      </c>
      <c r="G181" s="131">
        <v>52</v>
      </c>
      <c r="H181" s="166"/>
    </row>
    <row r="182" spans="1:8" x14ac:dyDescent="0.2">
      <c r="A182" s="308" t="s">
        <v>656</v>
      </c>
      <c r="B182" s="305" t="s">
        <v>240</v>
      </c>
      <c r="C182" s="306" t="s">
        <v>242</v>
      </c>
      <c r="D182" s="305" t="s">
        <v>122</v>
      </c>
      <c r="E182" s="306" t="s">
        <v>249</v>
      </c>
      <c r="F182" s="230" t="s">
        <v>184</v>
      </c>
      <c r="G182" s="309">
        <f>G183+G187+G190</f>
        <v>45700</v>
      </c>
      <c r="H182" s="166"/>
    </row>
    <row r="183" spans="1:8" ht="33.75" x14ac:dyDescent="0.2">
      <c r="A183" s="83" t="s">
        <v>139</v>
      </c>
      <c r="B183" s="67" t="s">
        <v>240</v>
      </c>
      <c r="C183" s="68" t="s">
        <v>242</v>
      </c>
      <c r="D183" s="67" t="s">
        <v>122</v>
      </c>
      <c r="E183" s="68" t="s">
        <v>249</v>
      </c>
      <c r="F183" s="68" t="s">
        <v>140</v>
      </c>
      <c r="G183" s="131">
        <f>G184</f>
        <v>6646.7</v>
      </c>
      <c r="H183" s="166"/>
    </row>
    <row r="184" spans="1:8" x14ac:dyDescent="0.2">
      <c r="A184" s="83" t="s">
        <v>141</v>
      </c>
      <c r="B184" s="67" t="s">
        <v>240</v>
      </c>
      <c r="C184" s="68" t="s">
        <v>242</v>
      </c>
      <c r="D184" s="67" t="s">
        <v>122</v>
      </c>
      <c r="E184" s="68" t="s">
        <v>249</v>
      </c>
      <c r="F184" s="68">
        <v>110</v>
      </c>
      <c r="G184" s="131">
        <f>G185+G186</f>
        <v>6646.7</v>
      </c>
      <c r="H184" s="166"/>
    </row>
    <row r="185" spans="1:8" x14ac:dyDescent="0.2">
      <c r="A185" s="83" t="s">
        <v>142</v>
      </c>
      <c r="B185" s="67" t="s">
        <v>240</v>
      </c>
      <c r="C185" s="68" t="s">
        <v>242</v>
      </c>
      <c r="D185" s="67" t="s">
        <v>122</v>
      </c>
      <c r="E185" s="68" t="s">
        <v>249</v>
      </c>
      <c r="F185" s="68">
        <v>111</v>
      </c>
      <c r="G185" s="131">
        <v>5105</v>
      </c>
      <c r="H185" s="166"/>
    </row>
    <row r="186" spans="1:8" ht="22.5" x14ac:dyDescent="0.2">
      <c r="A186" s="114" t="s">
        <v>143</v>
      </c>
      <c r="B186" s="67" t="s">
        <v>240</v>
      </c>
      <c r="C186" s="68" t="s">
        <v>242</v>
      </c>
      <c r="D186" s="67" t="s">
        <v>122</v>
      </c>
      <c r="E186" s="68" t="s">
        <v>249</v>
      </c>
      <c r="F186" s="68">
        <v>119</v>
      </c>
      <c r="G186" s="131">
        <v>1541.7</v>
      </c>
      <c r="H186" s="171"/>
    </row>
    <row r="187" spans="1:8" x14ac:dyDescent="0.2">
      <c r="A187" s="83" t="s">
        <v>650</v>
      </c>
      <c r="B187" s="67" t="s">
        <v>240</v>
      </c>
      <c r="C187" s="68" t="s">
        <v>242</v>
      </c>
      <c r="D187" s="67" t="s">
        <v>122</v>
      </c>
      <c r="E187" s="68" t="s">
        <v>249</v>
      </c>
      <c r="F187" s="68" t="s">
        <v>150</v>
      </c>
      <c r="G187" s="131">
        <f>G188</f>
        <v>50</v>
      </c>
      <c r="H187" s="171"/>
    </row>
    <row r="188" spans="1:8" ht="22.5" x14ac:dyDescent="0.2">
      <c r="A188" s="83" t="s">
        <v>151</v>
      </c>
      <c r="B188" s="67" t="s">
        <v>240</v>
      </c>
      <c r="C188" s="68" t="s">
        <v>242</v>
      </c>
      <c r="D188" s="67" t="s">
        <v>122</v>
      </c>
      <c r="E188" s="68" t="s">
        <v>249</v>
      </c>
      <c r="F188" s="68" t="s">
        <v>152</v>
      </c>
      <c r="G188" s="131">
        <f>+G189</f>
        <v>50</v>
      </c>
      <c r="H188" s="166"/>
    </row>
    <row r="189" spans="1:8" ht="22.5" x14ac:dyDescent="0.2">
      <c r="A189" s="115" t="s">
        <v>153</v>
      </c>
      <c r="B189" s="67" t="s">
        <v>240</v>
      </c>
      <c r="C189" s="68" t="s">
        <v>242</v>
      </c>
      <c r="D189" s="67" t="s">
        <v>122</v>
      </c>
      <c r="E189" s="68" t="s">
        <v>249</v>
      </c>
      <c r="F189" s="68" t="s">
        <v>154</v>
      </c>
      <c r="G189" s="131">
        <v>50</v>
      </c>
      <c r="H189" s="166"/>
    </row>
    <row r="190" spans="1:8" ht="22.5" x14ac:dyDescent="0.2">
      <c r="A190" s="83" t="s">
        <v>129</v>
      </c>
      <c r="B190" s="67" t="s">
        <v>240</v>
      </c>
      <c r="C190" s="68" t="s">
        <v>242</v>
      </c>
      <c r="D190" s="67" t="s">
        <v>122</v>
      </c>
      <c r="E190" s="68" t="s">
        <v>249</v>
      </c>
      <c r="F190" s="68" t="s">
        <v>130</v>
      </c>
      <c r="G190" s="131">
        <f>G191</f>
        <v>39003.300000000003</v>
      </c>
      <c r="H190" s="166"/>
    </row>
    <row r="191" spans="1:8" x14ac:dyDescent="0.2">
      <c r="A191" s="83" t="s">
        <v>131</v>
      </c>
      <c r="B191" s="67" t="s">
        <v>240</v>
      </c>
      <c r="C191" s="68" t="s">
        <v>242</v>
      </c>
      <c r="D191" s="67" t="s">
        <v>122</v>
      </c>
      <c r="E191" s="68" t="s">
        <v>249</v>
      </c>
      <c r="F191" s="68" t="s">
        <v>132</v>
      </c>
      <c r="G191" s="131">
        <f>G192</f>
        <v>39003.300000000003</v>
      </c>
      <c r="H191" s="166"/>
    </row>
    <row r="192" spans="1:8" ht="33.75" x14ac:dyDescent="0.2">
      <c r="A192" s="83" t="s">
        <v>133</v>
      </c>
      <c r="B192" s="67" t="s">
        <v>240</v>
      </c>
      <c r="C192" s="68" t="s">
        <v>242</v>
      </c>
      <c r="D192" s="67" t="s">
        <v>122</v>
      </c>
      <c r="E192" s="68" t="s">
        <v>249</v>
      </c>
      <c r="F192" s="68" t="s">
        <v>134</v>
      </c>
      <c r="G192" s="131">
        <v>39003.300000000003</v>
      </c>
      <c r="H192" s="166"/>
    </row>
    <row r="193" spans="1:9" ht="33.75" x14ac:dyDescent="0.2">
      <c r="A193" s="66" t="s">
        <v>250</v>
      </c>
      <c r="B193" s="67" t="s">
        <v>240</v>
      </c>
      <c r="C193" s="68" t="s">
        <v>242</v>
      </c>
      <c r="D193" s="67" t="s">
        <v>122</v>
      </c>
      <c r="E193" s="68" t="s">
        <v>251</v>
      </c>
      <c r="F193" s="68"/>
      <c r="G193" s="131">
        <f>G194</f>
        <v>287.10000000000002</v>
      </c>
      <c r="H193" s="166"/>
    </row>
    <row r="194" spans="1:9" ht="33.75" x14ac:dyDescent="0.2">
      <c r="A194" s="333" t="s">
        <v>663</v>
      </c>
      <c r="B194" s="305" t="s">
        <v>240</v>
      </c>
      <c r="C194" s="306" t="s">
        <v>242</v>
      </c>
      <c r="D194" s="305" t="s">
        <v>122</v>
      </c>
      <c r="E194" s="306" t="s">
        <v>252</v>
      </c>
      <c r="F194" s="306"/>
      <c r="G194" s="307">
        <f>G195+G198</f>
        <v>287.10000000000002</v>
      </c>
      <c r="H194" s="166"/>
    </row>
    <row r="195" spans="1:9" ht="33.75" x14ac:dyDescent="0.2">
      <c r="A195" s="83" t="s">
        <v>139</v>
      </c>
      <c r="B195" s="67" t="s">
        <v>240</v>
      </c>
      <c r="C195" s="68" t="s">
        <v>242</v>
      </c>
      <c r="D195" s="67" t="s">
        <v>122</v>
      </c>
      <c r="E195" s="68" t="s">
        <v>252</v>
      </c>
      <c r="F195" s="68">
        <v>100</v>
      </c>
      <c r="G195" s="131">
        <f>G197</f>
        <v>36.299999999999997</v>
      </c>
      <c r="H195" s="166"/>
    </row>
    <row r="196" spans="1:9" x14ac:dyDescent="0.2">
      <c r="A196" s="83" t="s">
        <v>141</v>
      </c>
      <c r="B196" s="67" t="s">
        <v>240</v>
      </c>
      <c r="C196" s="68" t="s">
        <v>242</v>
      </c>
      <c r="D196" s="67" t="s">
        <v>122</v>
      </c>
      <c r="E196" s="68" t="s">
        <v>252</v>
      </c>
      <c r="F196" s="68">
        <v>110</v>
      </c>
      <c r="G196" s="131">
        <f>G197</f>
        <v>36.299999999999997</v>
      </c>
      <c r="H196" s="166"/>
    </row>
    <row r="197" spans="1:9" x14ac:dyDescent="0.2">
      <c r="A197" s="115" t="s">
        <v>565</v>
      </c>
      <c r="B197" s="67" t="s">
        <v>240</v>
      </c>
      <c r="C197" s="68" t="s">
        <v>242</v>
      </c>
      <c r="D197" s="67" t="s">
        <v>122</v>
      </c>
      <c r="E197" s="68" t="s">
        <v>252</v>
      </c>
      <c r="F197" s="68">
        <v>112</v>
      </c>
      <c r="G197" s="131">
        <v>36.299999999999997</v>
      </c>
      <c r="H197" s="166"/>
    </row>
    <row r="198" spans="1:9" ht="22.5" x14ac:dyDescent="0.2">
      <c r="A198" s="83" t="s">
        <v>129</v>
      </c>
      <c r="B198" s="67" t="s">
        <v>240</v>
      </c>
      <c r="C198" s="68" t="s">
        <v>242</v>
      </c>
      <c r="D198" s="67" t="s">
        <v>122</v>
      </c>
      <c r="E198" s="68" t="s">
        <v>252</v>
      </c>
      <c r="F198" s="68">
        <v>600</v>
      </c>
      <c r="G198" s="131">
        <f>G199</f>
        <v>250.8</v>
      </c>
      <c r="H198" s="166"/>
    </row>
    <row r="199" spans="1:9" x14ac:dyDescent="0.2">
      <c r="A199" s="83" t="s">
        <v>131</v>
      </c>
      <c r="B199" s="67" t="s">
        <v>240</v>
      </c>
      <c r="C199" s="68" t="s">
        <v>242</v>
      </c>
      <c r="D199" s="67" t="s">
        <v>122</v>
      </c>
      <c r="E199" s="68" t="s">
        <v>252</v>
      </c>
      <c r="F199" s="68">
        <v>610</v>
      </c>
      <c r="G199" s="131">
        <f>G200</f>
        <v>250.8</v>
      </c>
      <c r="H199" s="166"/>
      <c r="I199" s="148"/>
    </row>
    <row r="200" spans="1:9" ht="33.75" x14ac:dyDescent="0.2">
      <c r="A200" s="83" t="s">
        <v>133</v>
      </c>
      <c r="B200" s="67" t="s">
        <v>240</v>
      </c>
      <c r="C200" s="68" t="s">
        <v>242</v>
      </c>
      <c r="D200" s="67" t="s">
        <v>122</v>
      </c>
      <c r="E200" s="68" t="s">
        <v>252</v>
      </c>
      <c r="F200" s="68">
        <v>611</v>
      </c>
      <c r="G200" s="131">
        <v>250.8</v>
      </c>
      <c r="H200" s="166"/>
    </row>
    <row r="201" spans="1:9" x14ac:dyDescent="0.2">
      <c r="A201" s="61" t="s">
        <v>253</v>
      </c>
      <c r="B201" s="94" t="s">
        <v>240</v>
      </c>
      <c r="C201" s="96" t="s">
        <v>242</v>
      </c>
      <c r="D201" s="94" t="s">
        <v>254</v>
      </c>
      <c r="E201" s="96" t="s">
        <v>183</v>
      </c>
      <c r="F201" s="96" t="s">
        <v>184</v>
      </c>
      <c r="G201" s="138">
        <f>G202+G230+G240</f>
        <v>196378.3</v>
      </c>
      <c r="H201" s="166"/>
      <c r="I201" s="148"/>
    </row>
    <row r="202" spans="1:9" x14ac:dyDescent="0.2">
      <c r="A202" s="98" t="s">
        <v>255</v>
      </c>
      <c r="B202" s="94" t="s">
        <v>240</v>
      </c>
      <c r="C202" s="96" t="s">
        <v>242</v>
      </c>
      <c r="D202" s="94" t="s">
        <v>254</v>
      </c>
      <c r="E202" s="96" t="s">
        <v>256</v>
      </c>
      <c r="F202" s="97" t="s">
        <v>184</v>
      </c>
      <c r="G202" s="133">
        <f>G217+G203</f>
        <v>193640.3</v>
      </c>
      <c r="H202" s="166"/>
    </row>
    <row r="203" spans="1:9" x14ac:dyDescent="0.2">
      <c r="A203" s="71" t="s">
        <v>127</v>
      </c>
      <c r="B203" s="67" t="s">
        <v>240</v>
      </c>
      <c r="C203" s="68" t="s">
        <v>242</v>
      </c>
      <c r="D203" s="67" t="s">
        <v>254</v>
      </c>
      <c r="E203" s="68" t="s">
        <v>257</v>
      </c>
      <c r="F203" s="84"/>
      <c r="G203" s="135">
        <f>G204+G208+G213</f>
        <v>15942.300000000001</v>
      </c>
      <c r="H203" s="166"/>
    </row>
    <row r="204" spans="1:9" x14ac:dyDescent="0.2">
      <c r="A204" s="83" t="s">
        <v>650</v>
      </c>
      <c r="B204" s="67" t="s">
        <v>240</v>
      </c>
      <c r="C204" s="68" t="s">
        <v>242</v>
      </c>
      <c r="D204" s="67" t="s">
        <v>254</v>
      </c>
      <c r="E204" s="68" t="s">
        <v>257</v>
      </c>
      <c r="F204" s="68" t="s">
        <v>150</v>
      </c>
      <c r="G204" s="131">
        <f>SUM(G205)</f>
        <v>1765.1</v>
      </c>
      <c r="H204" s="166"/>
    </row>
    <row r="205" spans="1:9" ht="22.5" x14ac:dyDescent="0.2">
      <c r="A205" s="83" t="s">
        <v>151</v>
      </c>
      <c r="B205" s="67" t="s">
        <v>240</v>
      </c>
      <c r="C205" s="68" t="s">
        <v>242</v>
      </c>
      <c r="D205" s="67" t="s">
        <v>254</v>
      </c>
      <c r="E205" s="68" t="s">
        <v>257</v>
      </c>
      <c r="F205" s="68" t="s">
        <v>152</v>
      </c>
      <c r="G205" s="131">
        <f>G206+G207</f>
        <v>1765.1</v>
      </c>
      <c r="H205" s="166"/>
    </row>
    <row r="206" spans="1:9" ht="22.5" x14ac:dyDescent="0.2">
      <c r="A206" s="115" t="s">
        <v>171</v>
      </c>
      <c r="B206" s="67" t="s">
        <v>240</v>
      </c>
      <c r="C206" s="68" t="s">
        <v>242</v>
      </c>
      <c r="D206" s="67" t="s">
        <v>254</v>
      </c>
      <c r="E206" s="68" t="s">
        <v>257</v>
      </c>
      <c r="F206" s="68">
        <v>242</v>
      </c>
      <c r="G206" s="131">
        <v>20</v>
      </c>
      <c r="H206" s="166"/>
    </row>
    <row r="207" spans="1:9" ht="22.5" x14ac:dyDescent="0.2">
      <c r="A207" s="115" t="s">
        <v>153</v>
      </c>
      <c r="B207" s="67" t="s">
        <v>240</v>
      </c>
      <c r="C207" s="68" t="s">
        <v>242</v>
      </c>
      <c r="D207" s="67" t="s">
        <v>254</v>
      </c>
      <c r="E207" s="68" t="s">
        <v>257</v>
      </c>
      <c r="F207" s="68" t="s">
        <v>154</v>
      </c>
      <c r="G207" s="131">
        <v>1745.1</v>
      </c>
      <c r="H207" s="166"/>
    </row>
    <row r="208" spans="1:9" ht="22.5" x14ac:dyDescent="0.2">
      <c r="A208" s="83" t="s">
        <v>129</v>
      </c>
      <c r="B208" s="67" t="s">
        <v>240</v>
      </c>
      <c r="C208" s="68" t="s">
        <v>242</v>
      </c>
      <c r="D208" s="67" t="s">
        <v>254</v>
      </c>
      <c r="E208" s="68" t="s">
        <v>257</v>
      </c>
      <c r="F208" s="68">
        <v>600</v>
      </c>
      <c r="G208" s="131">
        <f>G209+G211</f>
        <v>14127.2</v>
      </c>
      <c r="H208" s="171"/>
    </row>
    <row r="209" spans="1:13" s="86" customFormat="1" ht="12.75" customHeight="1" x14ac:dyDescent="0.2">
      <c r="A209" s="83" t="s">
        <v>131</v>
      </c>
      <c r="B209" s="67" t="s">
        <v>240</v>
      </c>
      <c r="C209" s="68" t="s">
        <v>242</v>
      </c>
      <c r="D209" s="67" t="s">
        <v>254</v>
      </c>
      <c r="E209" s="68" t="s">
        <v>257</v>
      </c>
      <c r="F209" s="68">
        <v>610</v>
      </c>
      <c r="G209" s="131">
        <f>G210</f>
        <v>12577</v>
      </c>
      <c r="H209" s="171"/>
      <c r="I209" s="153"/>
      <c r="J209" s="153"/>
      <c r="K209" s="153"/>
      <c r="L209" s="153"/>
      <c r="M209" s="153"/>
    </row>
    <row r="210" spans="1:13" s="86" customFormat="1" ht="12.75" customHeight="1" x14ac:dyDescent="0.2">
      <c r="A210" s="83" t="s">
        <v>133</v>
      </c>
      <c r="B210" s="67" t="s">
        <v>240</v>
      </c>
      <c r="C210" s="68" t="s">
        <v>242</v>
      </c>
      <c r="D210" s="67" t="s">
        <v>254</v>
      </c>
      <c r="E210" s="68" t="s">
        <v>257</v>
      </c>
      <c r="F210" s="68">
        <v>611</v>
      </c>
      <c r="G210" s="131">
        <v>12577</v>
      </c>
      <c r="H210" s="166"/>
      <c r="I210" s="153"/>
      <c r="J210" s="153"/>
      <c r="K210" s="153"/>
      <c r="L210" s="153"/>
      <c r="M210" s="153"/>
    </row>
    <row r="211" spans="1:13" x14ac:dyDescent="0.2">
      <c r="A211" s="66" t="s">
        <v>444</v>
      </c>
      <c r="B211" s="67" t="s">
        <v>240</v>
      </c>
      <c r="C211" s="68" t="s">
        <v>242</v>
      </c>
      <c r="D211" s="67" t="s">
        <v>254</v>
      </c>
      <c r="E211" s="68" t="s">
        <v>257</v>
      </c>
      <c r="F211" s="68">
        <v>620</v>
      </c>
      <c r="G211" s="131">
        <f>G212</f>
        <v>1550.2</v>
      </c>
      <c r="H211" s="166"/>
    </row>
    <row r="212" spans="1:13" ht="33.75" x14ac:dyDescent="0.2">
      <c r="A212" s="66" t="s">
        <v>445</v>
      </c>
      <c r="B212" s="67" t="s">
        <v>240</v>
      </c>
      <c r="C212" s="68" t="s">
        <v>242</v>
      </c>
      <c r="D212" s="67" t="s">
        <v>254</v>
      </c>
      <c r="E212" s="68" t="s">
        <v>257</v>
      </c>
      <c r="F212" s="68">
        <v>621</v>
      </c>
      <c r="G212" s="131">
        <v>1550.2</v>
      </c>
      <c r="H212" s="166"/>
    </row>
    <row r="213" spans="1:13" x14ac:dyDescent="0.2">
      <c r="A213" s="70" t="s">
        <v>172</v>
      </c>
      <c r="B213" s="67" t="s">
        <v>240</v>
      </c>
      <c r="C213" s="68" t="s">
        <v>242</v>
      </c>
      <c r="D213" s="67" t="s">
        <v>254</v>
      </c>
      <c r="E213" s="68" t="s">
        <v>257</v>
      </c>
      <c r="F213" s="68" t="s">
        <v>235</v>
      </c>
      <c r="G213" s="131">
        <f>SUM(G214)</f>
        <v>50</v>
      </c>
      <c r="H213" s="166"/>
    </row>
    <row r="214" spans="1:13" x14ac:dyDescent="0.2">
      <c r="A214" s="70" t="s">
        <v>173</v>
      </c>
      <c r="B214" s="67" t="s">
        <v>240</v>
      </c>
      <c r="C214" s="68" t="s">
        <v>242</v>
      </c>
      <c r="D214" s="67" t="s">
        <v>254</v>
      </c>
      <c r="E214" s="68" t="s">
        <v>257</v>
      </c>
      <c r="F214" s="68" t="s">
        <v>174</v>
      </c>
      <c r="G214" s="131">
        <f>SUM(G215:G216)</f>
        <v>50</v>
      </c>
      <c r="H214" s="166"/>
    </row>
    <row r="215" spans="1:13" x14ac:dyDescent="0.2">
      <c r="A215" s="75" t="s">
        <v>175</v>
      </c>
      <c r="B215" s="67" t="s">
        <v>240</v>
      </c>
      <c r="C215" s="68" t="s">
        <v>242</v>
      </c>
      <c r="D215" s="67" t="s">
        <v>254</v>
      </c>
      <c r="E215" s="68" t="s">
        <v>257</v>
      </c>
      <c r="F215" s="68" t="s">
        <v>176</v>
      </c>
      <c r="G215" s="131">
        <v>22</v>
      </c>
      <c r="H215" s="166"/>
    </row>
    <row r="216" spans="1:13" x14ac:dyDescent="0.2">
      <c r="A216" s="70" t="s">
        <v>564</v>
      </c>
      <c r="B216" s="67" t="s">
        <v>240</v>
      </c>
      <c r="C216" s="68" t="s">
        <v>242</v>
      </c>
      <c r="D216" s="67" t="s">
        <v>254</v>
      </c>
      <c r="E216" s="68" t="s">
        <v>257</v>
      </c>
      <c r="F216" s="68">
        <v>853</v>
      </c>
      <c r="G216" s="131">
        <v>28</v>
      </c>
      <c r="H216" s="166"/>
    </row>
    <row r="217" spans="1:13" x14ac:dyDescent="0.2">
      <c r="A217" s="304" t="s">
        <v>655</v>
      </c>
      <c r="B217" s="305" t="s">
        <v>240</v>
      </c>
      <c r="C217" s="306" t="s">
        <v>242</v>
      </c>
      <c r="D217" s="305" t="s">
        <v>254</v>
      </c>
      <c r="E217" s="306" t="s">
        <v>260</v>
      </c>
      <c r="F217" s="306" t="s">
        <v>184</v>
      </c>
      <c r="G217" s="307">
        <f>G218+G222+G225</f>
        <v>177698</v>
      </c>
      <c r="H217" s="166"/>
    </row>
    <row r="218" spans="1:13" ht="33.75" x14ac:dyDescent="0.2">
      <c r="A218" s="83" t="s">
        <v>139</v>
      </c>
      <c r="B218" s="67" t="s">
        <v>240</v>
      </c>
      <c r="C218" s="68" t="s">
        <v>242</v>
      </c>
      <c r="D218" s="67" t="s">
        <v>254</v>
      </c>
      <c r="E218" s="68" t="s">
        <v>260</v>
      </c>
      <c r="F218" s="68" t="s">
        <v>140</v>
      </c>
      <c r="G218" s="131">
        <f>G219</f>
        <v>11262.3</v>
      </c>
      <c r="H218" s="166"/>
    </row>
    <row r="219" spans="1:13" x14ac:dyDescent="0.2">
      <c r="A219" s="83" t="s">
        <v>141</v>
      </c>
      <c r="B219" s="67" t="s">
        <v>240</v>
      </c>
      <c r="C219" s="68" t="s">
        <v>242</v>
      </c>
      <c r="D219" s="67" t="s">
        <v>254</v>
      </c>
      <c r="E219" s="68" t="s">
        <v>260</v>
      </c>
      <c r="F219" s="68">
        <v>110</v>
      </c>
      <c r="G219" s="131">
        <f>G220+G221</f>
        <v>11262.3</v>
      </c>
      <c r="H219" s="166"/>
    </row>
    <row r="220" spans="1:13" x14ac:dyDescent="0.2">
      <c r="A220" s="83" t="s">
        <v>142</v>
      </c>
      <c r="B220" s="67" t="s">
        <v>240</v>
      </c>
      <c r="C220" s="68" t="s">
        <v>242</v>
      </c>
      <c r="D220" s="67" t="s">
        <v>254</v>
      </c>
      <c r="E220" s="68" t="s">
        <v>260</v>
      </c>
      <c r="F220" s="68">
        <v>111</v>
      </c>
      <c r="G220" s="131">
        <v>8650</v>
      </c>
      <c r="H220" s="166"/>
    </row>
    <row r="221" spans="1:13" ht="22.5" x14ac:dyDescent="0.2">
      <c r="A221" s="114" t="s">
        <v>143</v>
      </c>
      <c r="B221" s="67" t="s">
        <v>240</v>
      </c>
      <c r="C221" s="68" t="s">
        <v>242</v>
      </c>
      <c r="D221" s="67" t="s">
        <v>254</v>
      </c>
      <c r="E221" s="68" t="s">
        <v>260</v>
      </c>
      <c r="F221" s="68">
        <v>119</v>
      </c>
      <c r="G221" s="131">
        <v>2612.3000000000002</v>
      </c>
      <c r="H221" s="166"/>
    </row>
    <row r="222" spans="1:13" x14ac:dyDescent="0.2">
      <c r="A222" s="83" t="s">
        <v>650</v>
      </c>
      <c r="B222" s="67" t="s">
        <v>240</v>
      </c>
      <c r="C222" s="68" t="s">
        <v>242</v>
      </c>
      <c r="D222" s="67" t="s">
        <v>254</v>
      </c>
      <c r="E222" s="68" t="s">
        <v>260</v>
      </c>
      <c r="F222" s="68" t="s">
        <v>150</v>
      </c>
      <c r="G222" s="131">
        <f>SUM(G223)</f>
        <v>50</v>
      </c>
      <c r="H222" s="166"/>
    </row>
    <row r="223" spans="1:13" ht="22.5" x14ac:dyDescent="0.2">
      <c r="A223" s="83" t="s">
        <v>151</v>
      </c>
      <c r="B223" s="67" t="s">
        <v>240</v>
      </c>
      <c r="C223" s="68" t="s">
        <v>242</v>
      </c>
      <c r="D223" s="67" t="s">
        <v>254</v>
      </c>
      <c r="E223" s="68" t="s">
        <v>260</v>
      </c>
      <c r="F223" s="68" t="s">
        <v>152</v>
      </c>
      <c r="G223" s="131">
        <f>SUM(G224)</f>
        <v>50</v>
      </c>
      <c r="H223" s="166"/>
    </row>
    <row r="224" spans="1:13" ht="22.5" x14ac:dyDescent="0.2">
      <c r="A224" s="115" t="s">
        <v>153</v>
      </c>
      <c r="B224" s="67" t="s">
        <v>240</v>
      </c>
      <c r="C224" s="68" t="s">
        <v>242</v>
      </c>
      <c r="D224" s="67" t="s">
        <v>254</v>
      </c>
      <c r="E224" s="68" t="s">
        <v>260</v>
      </c>
      <c r="F224" s="68" t="s">
        <v>154</v>
      </c>
      <c r="G224" s="131">
        <v>50</v>
      </c>
      <c r="H224" s="166"/>
    </row>
    <row r="225" spans="1:8" ht="22.5" x14ac:dyDescent="0.2">
      <c r="A225" s="83" t="s">
        <v>129</v>
      </c>
      <c r="B225" s="67" t="s">
        <v>240</v>
      </c>
      <c r="C225" s="68" t="s">
        <v>242</v>
      </c>
      <c r="D225" s="68" t="s">
        <v>254</v>
      </c>
      <c r="E225" s="218" t="s">
        <v>260</v>
      </c>
      <c r="F225" s="68" t="s">
        <v>130</v>
      </c>
      <c r="G225" s="131">
        <f>G226+G228</f>
        <v>166385.70000000001</v>
      </c>
      <c r="H225" s="166"/>
    </row>
    <row r="226" spans="1:8" x14ac:dyDescent="0.2">
      <c r="A226" s="83" t="s">
        <v>131</v>
      </c>
      <c r="B226" s="67" t="s">
        <v>240</v>
      </c>
      <c r="C226" s="68" t="s">
        <v>242</v>
      </c>
      <c r="D226" s="68" t="s">
        <v>254</v>
      </c>
      <c r="E226" s="218" t="s">
        <v>260</v>
      </c>
      <c r="F226" s="68" t="s">
        <v>132</v>
      </c>
      <c r="G226" s="131">
        <f>G227</f>
        <v>146897.1</v>
      </c>
      <c r="H226" s="166"/>
    </row>
    <row r="227" spans="1:8" ht="33.75" x14ac:dyDescent="0.2">
      <c r="A227" s="83" t="s">
        <v>133</v>
      </c>
      <c r="B227" s="67" t="s">
        <v>240</v>
      </c>
      <c r="C227" s="68" t="s">
        <v>242</v>
      </c>
      <c r="D227" s="68" t="s">
        <v>254</v>
      </c>
      <c r="E227" s="218" t="s">
        <v>260</v>
      </c>
      <c r="F227" s="68" t="s">
        <v>134</v>
      </c>
      <c r="G227" s="131">
        <v>146897.1</v>
      </c>
      <c r="H227" s="166"/>
    </row>
    <row r="228" spans="1:8" x14ac:dyDescent="0.2">
      <c r="A228" s="66" t="s">
        <v>444</v>
      </c>
      <c r="B228" s="67" t="s">
        <v>240</v>
      </c>
      <c r="C228" s="68" t="s">
        <v>242</v>
      </c>
      <c r="D228" s="68" t="s">
        <v>254</v>
      </c>
      <c r="E228" s="218" t="s">
        <v>260</v>
      </c>
      <c r="F228" s="68">
        <v>620</v>
      </c>
      <c r="G228" s="131">
        <f>G229</f>
        <v>19488.599999999999</v>
      </c>
      <c r="H228" s="166"/>
    </row>
    <row r="229" spans="1:8" ht="33.75" x14ac:dyDescent="0.2">
      <c r="A229" s="66" t="s">
        <v>445</v>
      </c>
      <c r="B229" s="67" t="s">
        <v>240</v>
      </c>
      <c r="C229" s="68" t="s">
        <v>242</v>
      </c>
      <c r="D229" s="68" t="s">
        <v>254</v>
      </c>
      <c r="E229" s="218" t="s">
        <v>260</v>
      </c>
      <c r="F229" s="68">
        <v>621</v>
      </c>
      <c r="G229" s="131">
        <v>19488.599999999999</v>
      </c>
      <c r="H229" s="166"/>
    </row>
    <row r="230" spans="1:8" ht="33.75" x14ac:dyDescent="0.2">
      <c r="A230" s="236" t="s">
        <v>568</v>
      </c>
      <c r="B230" s="101" t="s">
        <v>240</v>
      </c>
      <c r="C230" s="103" t="s">
        <v>242</v>
      </c>
      <c r="D230" s="103" t="s">
        <v>254</v>
      </c>
      <c r="E230" s="103" t="s">
        <v>251</v>
      </c>
      <c r="F230" s="103"/>
      <c r="G230" s="143">
        <f>G231</f>
        <v>1003.2</v>
      </c>
      <c r="H230" s="166"/>
    </row>
    <row r="231" spans="1:8" ht="33.75" x14ac:dyDescent="0.2">
      <c r="A231" s="333" t="s">
        <v>83</v>
      </c>
      <c r="B231" s="305" t="s">
        <v>240</v>
      </c>
      <c r="C231" s="306" t="s">
        <v>242</v>
      </c>
      <c r="D231" s="306" t="s">
        <v>254</v>
      </c>
      <c r="E231" s="306" t="s">
        <v>252</v>
      </c>
      <c r="F231" s="306"/>
      <c r="G231" s="307">
        <f>G232+G235</f>
        <v>1003.2</v>
      </c>
      <c r="H231" s="166"/>
    </row>
    <row r="232" spans="1:8" ht="33.75" x14ac:dyDescent="0.2">
      <c r="A232" s="83" t="s">
        <v>139</v>
      </c>
      <c r="B232" s="67" t="s">
        <v>240</v>
      </c>
      <c r="C232" s="68" t="s">
        <v>242</v>
      </c>
      <c r="D232" s="68" t="s">
        <v>254</v>
      </c>
      <c r="E232" s="68" t="s">
        <v>252</v>
      </c>
      <c r="F232" s="68">
        <v>100</v>
      </c>
      <c r="G232" s="131">
        <f>G233</f>
        <v>46.2</v>
      </c>
      <c r="H232" s="166"/>
    </row>
    <row r="233" spans="1:8" x14ac:dyDescent="0.2">
      <c r="A233" s="83" t="s">
        <v>141</v>
      </c>
      <c r="B233" s="67" t="s">
        <v>240</v>
      </c>
      <c r="C233" s="68" t="s">
        <v>242</v>
      </c>
      <c r="D233" s="68" t="s">
        <v>254</v>
      </c>
      <c r="E233" s="68" t="s">
        <v>252</v>
      </c>
      <c r="F233" s="68">
        <v>110</v>
      </c>
      <c r="G233" s="131">
        <f>G234</f>
        <v>46.2</v>
      </c>
      <c r="H233" s="166"/>
    </row>
    <row r="234" spans="1:8" x14ac:dyDescent="0.2">
      <c r="A234" s="115" t="s">
        <v>565</v>
      </c>
      <c r="B234" s="67" t="s">
        <v>240</v>
      </c>
      <c r="C234" s="68" t="s">
        <v>242</v>
      </c>
      <c r="D234" s="68" t="s">
        <v>254</v>
      </c>
      <c r="E234" s="68" t="s">
        <v>252</v>
      </c>
      <c r="F234" s="68">
        <v>112</v>
      </c>
      <c r="G234" s="131">
        <v>46.2</v>
      </c>
      <c r="H234" s="166"/>
    </row>
    <row r="235" spans="1:8" ht="22.5" x14ac:dyDescent="0.2">
      <c r="A235" s="83" t="s">
        <v>129</v>
      </c>
      <c r="B235" s="67" t="s">
        <v>240</v>
      </c>
      <c r="C235" s="68" t="s">
        <v>242</v>
      </c>
      <c r="D235" s="68" t="s">
        <v>254</v>
      </c>
      <c r="E235" s="68" t="s">
        <v>252</v>
      </c>
      <c r="F235" s="68">
        <v>600</v>
      </c>
      <c r="G235" s="131">
        <f>G236+G238</f>
        <v>957</v>
      </c>
      <c r="H235" s="166"/>
    </row>
    <row r="236" spans="1:8" x14ac:dyDescent="0.2">
      <c r="A236" s="83" t="s">
        <v>131</v>
      </c>
      <c r="B236" s="67" t="s">
        <v>240</v>
      </c>
      <c r="C236" s="68" t="s">
        <v>242</v>
      </c>
      <c r="D236" s="68" t="s">
        <v>254</v>
      </c>
      <c r="E236" s="68" t="s">
        <v>252</v>
      </c>
      <c r="F236" s="68">
        <v>610</v>
      </c>
      <c r="G236" s="131">
        <f>G237</f>
        <v>858</v>
      </c>
      <c r="H236" s="166"/>
    </row>
    <row r="237" spans="1:8" ht="33.75" x14ac:dyDescent="0.2">
      <c r="A237" s="83" t="s">
        <v>133</v>
      </c>
      <c r="B237" s="67" t="s">
        <v>240</v>
      </c>
      <c r="C237" s="68" t="s">
        <v>242</v>
      </c>
      <c r="D237" s="68" t="s">
        <v>254</v>
      </c>
      <c r="E237" s="68" t="s">
        <v>252</v>
      </c>
      <c r="F237" s="68">
        <v>611</v>
      </c>
      <c r="G237" s="131">
        <v>858</v>
      </c>
      <c r="H237" s="166"/>
    </row>
    <row r="238" spans="1:8" x14ac:dyDescent="0.2">
      <c r="A238" s="66" t="s">
        <v>444</v>
      </c>
      <c r="B238" s="67" t="s">
        <v>240</v>
      </c>
      <c r="C238" s="68" t="s">
        <v>242</v>
      </c>
      <c r="D238" s="68" t="s">
        <v>254</v>
      </c>
      <c r="E238" s="68" t="s">
        <v>252</v>
      </c>
      <c r="F238" s="68">
        <v>620</v>
      </c>
      <c r="G238" s="131">
        <f>G239</f>
        <v>99</v>
      </c>
      <c r="H238" s="166"/>
    </row>
    <row r="239" spans="1:8" ht="33.75" x14ac:dyDescent="0.2">
      <c r="A239" s="66" t="s">
        <v>445</v>
      </c>
      <c r="B239" s="67" t="s">
        <v>240</v>
      </c>
      <c r="C239" s="68" t="s">
        <v>242</v>
      </c>
      <c r="D239" s="68" t="s">
        <v>254</v>
      </c>
      <c r="E239" s="68" t="s">
        <v>252</v>
      </c>
      <c r="F239" s="68">
        <v>621</v>
      </c>
      <c r="G239" s="131">
        <v>99</v>
      </c>
      <c r="H239" s="166"/>
    </row>
    <row r="240" spans="1:8" ht="22.5" x14ac:dyDescent="0.2">
      <c r="A240" s="304" t="s">
        <v>665</v>
      </c>
      <c r="B240" s="305" t="s">
        <v>240</v>
      </c>
      <c r="C240" s="306" t="s">
        <v>242</v>
      </c>
      <c r="D240" s="306" t="s">
        <v>254</v>
      </c>
      <c r="E240" s="335" t="s">
        <v>566</v>
      </c>
      <c r="F240" s="306" t="s">
        <v>184</v>
      </c>
      <c r="G240" s="307">
        <f>G241</f>
        <v>1734.8</v>
      </c>
      <c r="H240" s="166"/>
    </row>
    <row r="241" spans="1:9" ht="22.5" x14ac:dyDescent="0.2">
      <c r="A241" s="83" t="s">
        <v>129</v>
      </c>
      <c r="B241" s="67" t="s">
        <v>240</v>
      </c>
      <c r="C241" s="68" t="s">
        <v>242</v>
      </c>
      <c r="D241" s="68" t="s">
        <v>254</v>
      </c>
      <c r="E241" s="218" t="s">
        <v>566</v>
      </c>
      <c r="F241" s="68" t="s">
        <v>130</v>
      </c>
      <c r="G241" s="131">
        <f>G242</f>
        <v>1734.8</v>
      </c>
      <c r="H241" s="166"/>
    </row>
    <row r="242" spans="1:9" x14ac:dyDescent="0.2">
      <c r="A242" s="83" t="s">
        <v>131</v>
      </c>
      <c r="B242" s="67" t="s">
        <v>240</v>
      </c>
      <c r="C242" s="68" t="s">
        <v>242</v>
      </c>
      <c r="D242" s="68" t="s">
        <v>254</v>
      </c>
      <c r="E242" s="218" t="s">
        <v>566</v>
      </c>
      <c r="F242" s="68" t="s">
        <v>132</v>
      </c>
      <c r="G242" s="131">
        <f>G243</f>
        <v>1734.8</v>
      </c>
      <c r="H242" s="166"/>
    </row>
    <row r="243" spans="1:9" x14ac:dyDescent="0.2">
      <c r="A243" s="66" t="s">
        <v>567</v>
      </c>
      <c r="B243" s="67" t="s">
        <v>240</v>
      </c>
      <c r="C243" s="68" t="s">
        <v>242</v>
      </c>
      <c r="D243" s="68" t="s">
        <v>254</v>
      </c>
      <c r="E243" s="218" t="s">
        <v>566</v>
      </c>
      <c r="F243" s="68">
        <v>612</v>
      </c>
      <c r="G243" s="131">
        <v>1734.8</v>
      </c>
      <c r="H243" s="166"/>
    </row>
    <row r="244" spans="1:9" x14ac:dyDescent="0.2">
      <c r="A244" s="98" t="s">
        <v>448</v>
      </c>
      <c r="B244" s="99" t="s">
        <v>240</v>
      </c>
      <c r="C244" s="97" t="s">
        <v>242</v>
      </c>
      <c r="D244" s="99" t="s">
        <v>188</v>
      </c>
      <c r="E244" s="97"/>
      <c r="F244" s="97" t="s">
        <v>184</v>
      </c>
      <c r="G244" s="138">
        <f>G245+G249</f>
        <v>34182.400000000001</v>
      </c>
      <c r="H244" s="166"/>
      <c r="I244" s="148"/>
    </row>
    <row r="245" spans="1:9" x14ac:dyDescent="0.2">
      <c r="A245" s="83" t="s">
        <v>450</v>
      </c>
      <c r="B245" s="87" t="s">
        <v>240</v>
      </c>
      <c r="C245" s="84" t="s">
        <v>242</v>
      </c>
      <c r="D245" s="87" t="s">
        <v>188</v>
      </c>
      <c r="E245" s="84" t="s">
        <v>451</v>
      </c>
      <c r="F245" s="84" t="s">
        <v>184</v>
      </c>
      <c r="G245" s="131">
        <f>G246</f>
        <v>33993.599999999999</v>
      </c>
      <c r="H245" s="166"/>
    </row>
    <row r="246" spans="1:9" ht="22.5" x14ac:dyDescent="0.2">
      <c r="A246" s="83" t="s">
        <v>129</v>
      </c>
      <c r="B246" s="87" t="s">
        <v>240</v>
      </c>
      <c r="C246" s="84" t="s">
        <v>242</v>
      </c>
      <c r="D246" s="87" t="s">
        <v>188</v>
      </c>
      <c r="E246" s="84" t="s">
        <v>451</v>
      </c>
      <c r="F246" s="84">
        <v>600</v>
      </c>
      <c r="G246" s="131">
        <f>G247</f>
        <v>33993.599999999999</v>
      </c>
      <c r="H246" s="166"/>
    </row>
    <row r="247" spans="1:9" x14ac:dyDescent="0.2">
      <c r="A247" s="83" t="s">
        <v>131</v>
      </c>
      <c r="B247" s="87" t="s">
        <v>240</v>
      </c>
      <c r="C247" s="84" t="s">
        <v>242</v>
      </c>
      <c r="D247" s="87" t="s">
        <v>188</v>
      </c>
      <c r="E247" s="84" t="s">
        <v>451</v>
      </c>
      <c r="F247" s="84">
        <v>610</v>
      </c>
      <c r="G247" s="131">
        <f>G248</f>
        <v>33993.599999999999</v>
      </c>
      <c r="H247" s="166"/>
    </row>
    <row r="248" spans="1:9" ht="33.75" x14ac:dyDescent="0.2">
      <c r="A248" s="83" t="s">
        <v>133</v>
      </c>
      <c r="B248" s="87" t="s">
        <v>240</v>
      </c>
      <c r="C248" s="84" t="s">
        <v>242</v>
      </c>
      <c r="D248" s="87" t="s">
        <v>188</v>
      </c>
      <c r="E248" s="84" t="s">
        <v>451</v>
      </c>
      <c r="F248" s="84">
        <v>611</v>
      </c>
      <c r="G248" s="131">
        <v>33993.599999999999</v>
      </c>
      <c r="H248" s="166"/>
    </row>
    <row r="249" spans="1:9" ht="33.75" x14ac:dyDescent="0.2">
      <c r="A249" s="83" t="s">
        <v>568</v>
      </c>
      <c r="B249" s="87" t="s">
        <v>240</v>
      </c>
      <c r="C249" s="84" t="s">
        <v>242</v>
      </c>
      <c r="D249" s="87" t="s">
        <v>188</v>
      </c>
      <c r="E249" s="84" t="s">
        <v>251</v>
      </c>
      <c r="F249" s="84"/>
      <c r="G249" s="131">
        <f>G250</f>
        <v>188.8</v>
      </c>
      <c r="H249" s="166"/>
    </row>
    <row r="250" spans="1:9" ht="33.75" x14ac:dyDescent="0.2">
      <c r="A250" s="333" t="s">
        <v>83</v>
      </c>
      <c r="B250" s="311" t="s">
        <v>240</v>
      </c>
      <c r="C250" s="230" t="s">
        <v>242</v>
      </c>
      <c r="D250" s="311" t="s">
        <v>188</v>
      </c>
      <c r="E250" s="230" t="s">
        <v>252</v>
      </c>
      <c r="F250" s="230"/>
      <c r="G250" s="307">
        <f>G251</f>
        <v>188.8</v>
      </c>
      <c r="H250" s="166"/>
    </row>
    <row r="251" spans="1:9" ht="22.5" x14ac:dyDescent="0.2">
      <c r="A251" s="83" t="s">
        <v>129</v>
      </c>
      <c r="B251" s="87" t="s">
        <v>240</v>
      </c>
      <c r="C251" s="84" t="s">
        <v>242</v>
      </c>
      <c r="D251" s="87" t="s">
        <v>188</v>
      </c>
      <c r="E251" s="84" t="s">
        <v>252</v>
      </c>
      <c r="F251" s="68">
        <v>600</v>
      </c>
      <c r="G251" s="131">
        <f>G252</f>
        <v>188.8</v>
      </c>
      <c r="H251" s="166"/>
    </row>
    <row r="252" spans="1:9" x14ac:dyDescent="0.2">
      <c r="A252" s="83" t="s">
        <v>131</v>
      </c>
      <c r="B252" s="87" t="s">
        <v>240</v>
      </c>
      <c r="C252" s="84" t="s">
        <v>242</v>
      </c>
      <c r="D252" s="87" t="s">
        <v>188</v>
      </c>
      <c r="E252" s="84" t="s">
        <v>252</v>
      </c>
      <c r="F252" s="68">
        <v>610</v>
      </c>
      <c r="G252" s="131">
        <f>G253</f>
        <v>188.8</v>
      </c>
      <c r="H252" s="166"/>
    </row>
    <row r="253" spans="1:9" ht="33.75" x14ac:dyDescent="0.2">
      <c r="A253" s="83" t="s">
        <v>133</v>
      </c>
      <c r="B253" s="87" t="s">
        <v>240</v>
      </c>
      <c r="C253" s="84" t="s">
        <v>242</v>
      </c>
      <c r="D253" s="87" t="s">
        <v>188</v>
      </c>
      <c r="E253" s="84" t="s">
        <v>252</v>
      </c>
      <c r="F253" s="68">
        <v>611</v>
      </c>
      <c r="G253" s="131">
        <v>188.8</v>
      </c>
      <c r="H253" s="166"/>
    </row>
    <row r="254" spans="1:9" x14ac:dyDescent="0.2">
      <c r="A254" s="98" t="s">
        <v>504</v>
      </c>
      <c r="B254" s="95" t="s">
        <v>240</v>
      </c>
      <c r="C254" s="94" t="s">
        <v>242</v>
      </c>
      <c r="D254" s="94" t="s">
        <v>242</v>
      </c>
      <c r="E254" s="96"/>
      <c r="F254" s="96"/>
      <c r="G254" s="138">
        <f>G255</f>
        <v>2341.8999999999996</v>
      </c>
      <c r="H254" s="166"/>
      <c r="I254" s="148"/>
    </row>
    <row r="255" spans="1:9" x14ac:dyDescent="0.2">
      <c r="A255" s="83" t="s">
        <v>506</v>
      </c>
      <c r="B255" s="62" t="s">
        <v>240</v>
      </c>
      <c r="C255" s="68" t="s">
        <v>242</v>
      </c>
      <c r="D255" s="68" t="s">
        <v>242</v>
      </c>
      <c r="E255" s="68" t="s">
        <v>507</v>
      </c>
      <c r="F255" s="68" t="s">
        <v>184</v>
      </c>
      <c r="G255" s="131">
        <f>G256</f>
        <v>2341.8999999999996</v>
      </c>
      <c r="H255" s="166"/>
      <c r="I255" s="148"/>
    </row>
    <row r="256" spans="1:9" x14ac:dyDescent="0.2">
      <c r="A256" s="83" t="s">
        <v>508</v>
      </c>
      <c r="B256" s="62" t="s">
        <v>240</v>
      </c>
      <c r="C256" s="68" t="s">
        <v>242</v>
      </c>
      <c r="D256" s="67" t="s">
        <v>242</v>
      </c>
      <c r="E256" s="68" t="s">
        <v>509</v>
      </c>
      <c r="F256" s="68"/>
      <c r="G256" s="131">
        <f>G258</f>
        <v>2341.8999999999996</v>
      </c>
      <c r="H256" s="166"/>
    </row>
    <row r="257" spans="1:13" x14ac:dyDescent="0.2">
      <c r="A257" s="308" t="s">
        <v>664</v>
      </c>
      <c r="B257" s="334" t="s">
        <v>240</v>
      </c>
      <c r="C257" s="306" t="s">
        <v>242</v>
      </c>
      <c r="D257" s="305" t="s">
        <v>242</v>
      </c>
      <c r="E257" s="306" t="s">
        <v>510</v>
      </c>
      <c r="F257" s="306"/>
      <c r="G257" s="307">
        <f>G258-770</f>
        <v>1571.8999999999996</v>
      </c>
      <c r="H257" s="166"/>
    </row>
    <row r="258" spans="1:13" ht="22.5" x14ac:dyDescent="0.2">
      <c r="A258" s="83" t="s">
        <v>129</v>
      </c>
      <c r="B258" s="62" t="s">
        <v>240</v>
      </c>
      <c r="C258" s="68" t="s">
        <v>242</v>
      </c>
      <c r="D258" s="67" t="s">
        <v>242</v>
      </c>
      <c r="E258" s="68" t="s">
        <v>510</v>
      </c>
      <c r="F258" s="68">
        <v>600</v>
      </c>
      <c r="G258" s="131">
        <f>G259+G261</f>
        <v>2341.8999999999996</v>
      </c>
      <c r="H258" s="166"/>
    </row>
    <row r="259" spans="1:13" x14ac:dyDescent="0.2">
      <c r="A259" s="83" t="s">
        <v>131</v>
      </c>
      <c r="B259" s="62" t="s">
        <v>240</v>
      </c>
      <c r="C259" s="68" t="s">
        <v>242</v>
      </c>
      <c r="D259" s="67" t="s">
        <v>242</v>
      </c>
      <c r="E259" s="68" t="s">
        <v>510</v>
      </c>
      <c r="F259" s="68">
        <v>610</v>
      </c>
      <c r="G259" s="131">
        <f>G260</f>
        <v>2169.6999999999998</v>
      </c>
      <c r="H259" s="166"/>
    </row>
    <row r="260" spans="1:13" ht="33.75" x14ac:dyDescent="0.2">
      <c r="A260" s="83" t="s">
        <v>133</v>
      </c>
      <c r="B260" s="62" t="s">
        <v>240</v>
      </c>
      <c r="C260" s="68" t="s">
        <v>242</v>
      </c>
      <c r="D260" s="67" t="s">
        <v>242</v>
      </c>
      <c r="E260" s="68" t="s">
        <v>510</v>
      </c>
      <c r="F260" s="68">
        <v>611</v>
      </c>
      <c r="G260" s="131">
        <f>1399.7+770</f>
        <v>2169.6999999999998</v>
      </c>
      <c r="H260" s="166"/>
    </row>
    <row r="261" spans="1:13" x14ac:dyDescent="0.2">
      <c r="A261" s="66" t="s">
        <v>444</v>
      </c>
      <c r="B261" s="62" t="s">
        <v>240</v>
      </c>
      <c r="C261" s="68" t="s">
        <v>242</v>
      </c>
      <c r="D261" s="67" t="s">
        <v>242</v>
      </c>
      <c r="E261" s="68" t="s">
        <v>510</v>
      </c>
      <c r="F261" s="68">
        <v>620</v>
      </c>
      <c r="G261" s="131">
        <f>G262</f>
        <v>172.2</v>
      </c>
      <c r="H261" s="172"/>
      <c r="I261" s="64"/>
      <c r="J261" s="64"/>
      <c r="K261" s="64"/>
      <c r="L261" s="64"/>
      <c r="M261" s="154"/>
    </row>
    <row r="262" spans="1:13" ht="33.75" x14ac:dyDescent="0.2">
      <c r="A262" s="66" t="s">
        <v>445</v>
      </c>
      <c r="B262" s="62" t="s">
        <v>240</v>
      </c>
      <c r="C262" s="68" t="s">
        <v>242</v>
      </c>
      <c r="D262" s="67" t="s">
        <v>242</v>
      </c>
      <c r="E262" s="68" t="s">
        <v>510</v>
      </c>
      <c r="F262" s="68">
        <v>621</v>
      </c>
      <c r="G262" s="131">
        <v>172.2</v>
      </c>
      <c r="H262" s="166"/>
      <c r="I262" s="65"/>
      <c r="J262" s="65"/>
      <c r="K262" s="65"/>
      <c r="L262" s="65"/>
      <c r="M262" s="65"/>
    </row>
    <row r="263" spans="1:13" x14ac:dyDescent="0.2">
      <c r="A263" s="61" t="s">
        <v>261</v>
      </c>
      <c r="B263" s="94" t="s">
        <v>240</v>
      </c>
      <c r="C263" s="96" t="s">
        <v>242</v>
      </c>
      <c r="D263" s="94" t="s">
        <v>262</v>
      </c>
      <c r="E263" s="96" t="s">
        <v>183</v>
      </c>
      <c r="F263" s="96" t="s">
        <v>184</v>
      </c>
      <c r="G263" s="138">
        <f>G264</f>
        <v>9923.1</v>
      </c>
      <c r="H263" s="166"/>
      <c r="I263" s="65"/>
      <c r="J263" s="65"/>
      <c r="K263" s="65"/>
      <c r="L263" s="65"/>
      <c r="M263" s="65"/>
    </row>
    <row r="264" spans="1:13" ht="33.75" x14ac:dyDescent="0.2">
      <c r="A264" s="83" t="s">
        <v>263</v>
      </c>
      <c r="B264" s="67" t="s">
        <v>240</v>
      </c>
      <c r="C264" s="68" t="s">
        <v>242</v>
      </c>
      <c r="D264" s="67" t="s">
        <v>262</v>
      </c>
      <c r="E264" s="68" t="s">
        <v>264</v>
      </c>
      <c r="F264" s="68"/>
      <c r="G264" s="131">
        <f>G265+G287+G270</f>
        <v>9923.1</v>
      </c>
      <c r="H264" s="166"/>
      <c r="I264" s="65"/>
      <c r="J264" s="65"/>
      <c r="K264" s="65"/>
      <c r="L264" s="65"/>
      <c r="M264" s="65"/>
    </row>
    <row r="265" spans="1:13" ht="22.5" x14ac:dyDescent="0.2">
      <c r="A265" s="66" t="s">
        <v>265</v>
      </c>
      <c r="B265" s="67" t="s">
        <v>240</v>
      </c>
      <c r="C265" s="68" t="s">
        <v>242</v>
      </c>
      <c r="D265" s="67" t="s">
        <v>262</v>
      </c>
      <c r="E265" s="68" t="s">
        <v>266</v>
      </c>
      <c r="F265" s="68"/>
      <c r="G265" s="131">
        <f>G266</f>
        <v>960.5</v>
      </c>
      <c r="H265" s="166"/>
      <c r="I265" s="65"/>
      <c r="J265" s="65"/>
      <c r="K265" s="65"/>
      <c r="L265" s="65"/>
      <c r="M265" s="65"/>
    </row>
    <row r="266" spans="1:13" ht="33.75" x14ac:dyDescent="0.2">
      <c r="A266" s="83" t="s">
        <v>139</v>
      </c>
      <c r="B266" s="67" t="s">
        <v>240</v>
      </c>
      <c r="C266" s="68" t="s">
        <v>242</v>
      </c>
      <c r="D266" s="67" t="s">
        <v>262</v>
      </c>
      <c r="E266" s="68" t="s">
        <v>266</v>
      </c>
      <c r="F266" s="68">
        <v>100</v>
      </c>
      <c r="G266" s="131">
        <f>G267</f>
        <v>960.5</v>
      </c>
      <c r="H266" s="166"/>
      <c r="I266" s="65"/>
      <c r="J266" s="65"/>
      <c r="K266" s="65"/>
      <c r="L266" s="155"/>
      <c r="M266" s="65"/>
    </row>
    <row r="267" spans="1:13" x14ac:dyDescent="0.2">
      <c r="A267" s="83" t="s">
        <v>168</v>
      </c>
      <c r="B267" s="67" t="s">
        <v>240</v>
      </c>
      <c r="C267" s="68" t="s">
        <v>242</v>
      </c>
      <c r="D267" s="67" t="s">
        <v>262</v>
      </c>
      <c r="E267" s="68" t="s">
        <v>266</v>
      </c>
      <c r="F267" s="68">
        <v>120</v>
      </c>
      <c r="G267" s="131">
        <f>G268+G269</f>
        <v>960.5</v>
      </c>
      <c r="H267" s="166"/>
      <c r="I267" s="65"/>
      <c r="J267" s="65"/>
      <c r="K267" s="65"/>
      <c r="L267" s="65"/>
      <c r="M267" s="65"/>
    </row>
    <row r="268" spans="1:13" x14ac:dyDescent="0.2">
      <c r="A268" s="114" t="s">
        <v>169</v>
      </c>
      <c r="B268" s="67" t="s">
        <v>240</v>
      </c>
      <c r="C268" s="68" t="s">
        <v>242</v>
      </c>
      <c r="D268" s="67" t="s">
        <v>262</v>
      </c>
      <c r="E268" s="68" t="s">
        <v>266</v>
      </c>
      <c r="F268" s="68">
        <v>121</v>
      </c>
      <c r="G268" s="131">
        <v>737.7</v>
      </c>
      <c r="H268" s="166"/>
      <c r="I268" s="65"/>
      <c r="J268" s="65"/>
      <c r="K268" s="65"/>
      <c r="L268" s="155"/>
      <c r="M268" s="65"/>
    </row>
    <row r="269" spans="1:13" ht="33.75" x14ac:dyDescent="0.2">
      <c r="A269" s="114" t="s">
        <v>170</v>
      </c>
      <c r="B269" s="67" t="s">
        <v>240</v>
      </c>
      <c r="C269" s="68" t="s">
        <v>242</v>
      </c>
      <c r="D269" s="67" t="s">
        <v>262</v>
      </c>
      <c r="E269" s="68" t="s">
        <v>266</v>
      </c>
      <c r="F269" s="68">
        <v>129</v>
      </c>
      <c r="G269" s="131">
        <v>222.8</v>
      </c>
      <c r="H269" s="166"/>
    </row>
    <row r="270" spans="1:13" x14ac:dyDescent="0.2">
      <c r="A270" s="66" t="s">
        <v>267</v>
      </c>
      <c r="B270" s="67" t="s">
        <v>240</v>
      </c>
      <c r="C270" s="68" t="s">
        <v>242</v>
      </c>
      <c r="D270" s="67" t="s">
        <v>262</v>
      </c>
      <c r="E270" s="68" t="s">
        <v>268</v>
      </c>
      <c r="F270" s="68" t="s">
        <v>184</v>
      </c>
      <c r="G270" s="131">
        <f>G271+G275+G278+G282</f>
        <v>8312.6</v>
      </c>
      <c r="H270" s="166"/>
    </row>
    <row r="271" spans="1:13" ht="33.75" x14ac:dyDescent="0.2">
      <c r="A271" s="83" t="s">
        <v>139</v>
      </c>
      <c r="B271" s="67" t="s">
        <v>240</v>
      </c>
      <c r="C271" s="68" t="s">
        <v>242</v>
      </c>
      <c r="D271" s="67" t="s">
        <v>262</v>
      </c>
      <c r="E271" s="68" t="s">
        <v>269</v>
      </c>
      <c r="F271" s="68" t="s">
        <v>140</v>
      </c>
      <c r="G271" s="131">
        <f>G272</f>
        <v>7563</v>
      </c>
      <c r="H271" s="166"/>
    </row>
    <row r="272" spans="1:13" x14ac:dyDescent="0.2">
      <c r="A272" s="83" t="s">
        <v>141</v>
      </c>
      <c r="B272" s="67" t="s">
        <v>240</v>
      </c>
      <c r="C272" s="68" t="s">
        <v>242</v>
      </c>
      <c r="D272" s="67" t="s">
        <v>262</v>
      </c>
      <c r="E272" s="68" t="s">
        <v>269</v>
      </c>
      <c r="F272" s="68">
        <v>110</v>
      </c>
      <c r="G272" s="131">
        <f>G273+G274</f>
        <v>7563</v>
      </c>
      <c r="H272" s="166"/>
    </row>
    <row r="273" spans="1:9" x14ac:dyDescent="0.2">
      <c r="A273" s="83" t="s">
        <v>142</v>
      </c>
      <c r="B273" s="67" t="s">
        <v>240</v>
      </c>
      <c r="C273" s="68" t="s">
        <v>242</v>
      </c>
      <c r="D273" s="67" t="s">
        <v>262</v>
      </c>
      <c r="E273" s="68" t="s">
        <v>269</v>
      </c>
      <c r="F273" s="68">
        <v>111</v>
      </c>
      <c r="G273" s="131">
        <v>5808.8</v>
      </c>
      <c r="H273" s="166"/>
    </row>
    <row r="274" spans="1:9" ht="22.5" x14ac:dyDescent="0.2">
      <c r="A274" s="114" t="s">
        <v>143</v>
      </c>
      <c r="B274" s="67" t="s">
        <v>240</v>
      </c>
      <c r="C274" s="68" t="s">
        <v>242</v>
      </c>
      <c r="D274" s="67" t="s">
        <v>262</v>
      </c>
      <c r="E274" s="68" t="s">
        <v>269</v>
      </c>
      <c r="F274" s="68">
        <v>119</v>
      </c>
      <c r="G274" s="131">
        <v>1754.2</v>
      </c>
      <c r="H274" s="166"/>
    </row>
    <row r="275" spans="1:9" ht="33.75" x14ac:dyDescent="0.2">
      <c r="A275" s="83" t="s">
        <v>139</v>
      </c>
      <c r="B275" s="67" t="s">
        <v>240</v>
      </c>
      <c r="C275" s="68" t="s">
        <v>242</v>
      </c>
      <c r="D275" s="67" t="s">
        <v>262</v>
      </c>
      <c r="E275" s="68" t="s">
        <v>270</v>
      </c>
      <c r="F275" s="68">
        <v>100</v>
      </c>
      <c r="G275" s="131">
        <f>G276</f>
        <v>20</v>
      </c>
      <c r="H275" s="166"/>
    </row>
    <row r="276" spans="1:9" x14ac:dyDescent="0.2">
      <c r="A276" s="83" t="s">
        <v>168</v>
      </c>
      <c r="B276" s="67" t="s">
        <v>240</v>
      </c>
      <c r="C276" s="68" t="s">
        <v>242</v>
      </c>
      <c r="D276" s="67" t="s">
        <v>262</v>
      </c>
      <c r="E276" s="68" t="s">
        <v>270</v>
      </c>
      <c r="F276" s="68">
        <v>120</v>
      </c>
      <c r="G276" s="131">
        <f>G277</f>
        <v>20</v>
      </c>
      <c r="H276" s="166"/>
    </row>
    <row r="277" spans="1:9" ht="22.5" x14ac:dyDescent="0.2">
      <c r="A277" s="69" t="s">
        <v>293</v>
      </c>
      <c r="B277" s="67" t="s">
        <v>240</v>
      </c>
      <c r="C277" s="68" t="s">
        <v>242</v>
      </c>
      <c r="D277" s="67" t="s">
        <v>262</v>
      </c>
      <c r="E277" s="68" t="s">
        <v>270</v>
      </c>
      <c r="F277" s="68">
        <v>122</v>
      </c>
      <c r="G277" s="131">
        <v>20</v>
      </c>
      <c r="H277" s="166"/>
    </row>
    <row r="278" spans="1:9" x14ac:dyDescent="0.2">
      <c r="A278" s="83" t="s">
        <v>650</v>
      </c>
      <c r="B278" s="67" t="s">
        <v>240</v>
      </c>
      <c r="C278" s="68" t="s">
        <v>242</v>
      </c>
      <c r="D278" s="67" t="s">
        <v>262</v>
      </c>
      <c r="E278" s="68" t="s">
        <v>270</v>
      </c>
      <c r="F278" s="68" t="s">
        <v>150</v>
      </c>
      <c r="G278" s="131">
        <f>G279</f>
        <v>697.6</v>
      </c>
      <c r="H278" s="166"/>
    </row>
    <row r="279" spans="1:9" ht="22.5" x14ac:dyDescent="0.2">
      <c r="A279" s="83" t="s">
        <v>151</v>
      </c>
      <c r="B279" s="67" t="s">
        <v>240</v>
      </c>
      <c r="C279" s="68" t="s">
        <v>242</v>
      </c>
      <c r="D279" s="67" t="s">
        <v>262</v>
      </c>
      <c r="E279" s="68" t="s">
        <v>270</v>
      </c>
      <c r="F279" s="68" t="s">
        <v>152</v>
      </c>
      <c r="G279" s="131">
        <f>G281+G280</f>
        <v>697.6</v>
      </c>
      <c r="H279" s="166"/>
      <c r="I279" s="148"/>
    </row>
    <row r="280" spans="1:9" ht="22.5" x14ac:dyDescent="0.2">
      <c r="A280" s="115" t="s">
        <v>171</v>
      </c>
      <c r="B280" s="67" t="s">
        <v>240</v>
      </c>
      <c r="C280" s="68" t="s">
        <v>242</v>
      </c>
      <c r="D280" s="67" t="s">
        <v>262</v>
      </c>
      <c r="E280" s="68" t="s">
        <v>270</v>
      </c>
      <c r="F280" s="68">
        <v>242</v>
      </c>
      <c r="G280" s="131">
        <v>200</v>
      </c>
      <c r="H280" s="166"/>
    </row>
    <row r="281" spans="1:9" ht="22.5" x14ac:dyDescent="0.2">
      <c r="A281" s="115" t="s">
        <v>153</v>
      </c>
      <c r="B281" s="67" t="s">
        <v>240</v>
      </c>
      <c r="C281" s="68" t="s">
        <v>242</v>
      </c>
      <c r="D281" s="67" t="s">
        <v>262</v>
      </c>
      <c r="E281" s="68" t="s">
        <v>270</v>
      </c>
      <c r="F281" s="68" t="s">
        <v>154</v>
      </c>
      <c r="G281" s="131">
        <v>497.6</v>
      </c>
      <c r="H281" s="166"/>
    </row>
    <row r="282" spans="1:9" x14ac:dyDescent="0.2">
      <c r="A282" s="70" t="s">
        <v>172</v>
      </c>
      <c r="B282" s="67" t="s">
        <v>240</v>
      </c>
      <c r="C282" s="68" t="s">
        <v>242</v>
      </c>
      <c r="D282" s="67" t="s">
        <v>262</v>
      </c>
      <c r="E282" s="68" t="s">
        <v>270</v>
      </c>
      <c r="F282" s="68" t="s">
        <v>235</v>
      </c>
      <c r="G282" s="131">
        <f>G283</f>
        <v>32</v>
      </c>
      <c r="H282" s="166"/>
    </row>
    <row r="283" spans="1:9" x14ac:dyDescent="0.2">
      <c r="A283" s="70" t="s">
        <v>173</v>
      </c>
      <c r="B283" s="67" t="s">
        <v>240</v>
      </c>
      <c r="C283" s="68" t="s">
        <v>242</v>
      </c>
      <c r="D283" s="67" t="s">
        <v>262</v>
      </c>
      <c r="E283" s="68" t="s">
        <v>270</v>
      </c>
      <c r="F283" s="68" t="s">
        <v>174</v>
      </c>
      <c r="G283" s="131">
        <f>G284+G285+G286</f>
        <v>32</v>
      </c>
      <c r="H283" s="166"/>
    </row>
    <row r="284" spans="1:9" x14ac:dyDescent="0.2">
      <c r="A284" s="75" t="s">
        <v>175</v>
      </c>
      <c r="B284" s="67" t="s">
        <v>240</v>
      </c>
      <c r="C284" s="68" t="s">
        <v>242</v>
      </c>
      <c r="D284" s="67" t="s">
        <v>262</v>
      </c>
      <c r="E284" s="68" t="s">
        <v>270</v>
      </c>
      <c r="F284" s="68" t="s">
        <v>176</v>
      </c>
      <c r="G284" s="131">
        <v>5.2</v>
      </c>
      <c r="H284" s="166"/>
    </row>
    <row r="285" spans="1:9" x14ac:dyDescent="0.2">
      <c r="A285" s="70" t="s">
        <v>236</v>
      </c>
      <c r="B285" s="67" t="s">
        <v>240</v>
      </c>
      <c r="C285" s="68" t="s">
        <v>242</v>
      </c>
      <c r="D285" s="67" t="s">
        <v>262</v>
      </c>
      <c r="E285" s="68" t="s">
        <v>270</v>
      </c>
      <c r="F285" s="68">
        <v>852</v>
      </c>
      <c r="G285" s="131">
        <v>3</v>
      </c>
      <c r="H285" s="166"/>
    </row>
    <row r="286" spans="1:9" x14ac:dyDescent="0.2">
      <c r="A286" s="70" t="s">
        <v>564</v>
      </c>
      <c r="B286" s="67" t="s">
        <v>240</v>
      </c>
      <c r="C286" s="68" t="s">
        <v>242</v>
      </c>
      <c r="D286" s="67" t="s">
        <v>262</v>
      </c>
      <c r="E286" s="68" t="s">
        <v>270</v>
      </c>
      <c r="F286" s="68">
        <v>853</v>
      </c>
      <c r="G286" s="131">
        <v>23.8</v>
      </c>
      <c r="H286" s="166"/>
    </row>
    <row r="287" spans="1:9" ht="22.5" x14ac:dyDescent="0.2">
      <c r="A287" s="66" t="s">
        <v>271</v>
      </c>
      <c r="B287" s="67" t="s">
        <v>240</v>
      </c>
      <c r="C287" s="68" t="s">
        <v>242</v>
      </c>
      <c r="D287" s="67" t="s">
        <v>262</v>
      </c>
      <c r="E287" s="68" t="s">
        <v>272</v>
      </c>
      <c r="F287" s="68"/>
      <c r="G287" s="131">
        <f>G288+G291</f>
        <v>650</v>
      </c>
      <c r="H287" s="166"/>
    </row>
    <row r="288" spans="1:9" x14ac:dyDescent="0.2">
      <c r="A288" s="83" t="s">
        <v>650</v>
      </c>
      <c r="B288" s="67" t="s">
        <v>240</v>
      </c>
      <c r="C288" s="68" t="s">
        <v>242</v>
      </c>
      <c r="D288" s="67" t="s">
        <v>262</v>
      </c>
      <c r="E288" s="68" t="s">
        <v>272</v>
      </c>
      <c r="F288" s="68">
        <v>200</v>
      </c>
      <c r="G288" s="131">
        <f>G289</f>
        <v>323</v>
      </c>
      <c r="H288" s="166"/>
    </row>
    <row r="289" spans="1:13" ht="22.5" x14ac:dyDescent="0.2">
      <c r="A289" s="83" t="s">
        <v>151</v>
      </c>
      <c r="B289" s="67" t="s">
        <v>240</v>
      </c>
      <c r="C289" s="68" t="s">
        <v>242</v>
      </c>
      <c r="D289" s="67" t="s">
        <v>262</v>
      </c>
      <c r="E289" s="68" t="s">
        <v>272</v>
      </c>
      <c r="F289" s="68">
        <v>240</v>
      </c>
      <c r="G289" s="131">
        <f>G290</f>
        <v>323</v>
      </c>
      <c r="H289" s="166"/>
    </row>
    <row r="290" spans="1:13" ht="22.5" x14ac:dyDescent="0.2">
      <c r="A290" s="115" t="s">
        <v>153</v>
      </c>
      <c r="B290" s="67" t="s">
        <v>240</v>
      </c>
      <c r="C290" s="68" t="s">
        <v>242</v>
      </c>
      <c r="D290" s="67" t="s">
        <v>262</v>
      </c>
      <c r="E290" s="68" t="s">
        <v>272</v>
      </c>
      <c r="F290" s="68">
        <v>244</v>
      </c>
      <c r="G290" s="131">
        <v>323</v>
      </c>
      <c r="H290" s="166"/>
    </row>
    <row r="291" spans="1:13" x14ac:dyDescent="0.2">
      <c r="A291" s="75" t="s">
        <v>197</v>
      </c>
      <c r="B291" s="67" t="s">
        <v>240</v>
      </c>
      <c r="C291" s="68" t="s">
        <v>242</v>
      </c>
      <c r="D291" s="67" t="s">
        <v>262</v>
      </c>
      <c r="E291" s="68" t="s">
        <v>272</v>
      </c>
      <c r="F291" s="68">
        <v>300</v>
      </c>
      <c r="G291" s="131">
        <f>G292</f>
        <v>327</v>
      </c>
      <c r="H291" s="166"/>
    </row>
    <row r="292" spans="1:13" x14ac:dyDescent="0.2">
      <c r="A292" s="66" t="s">
        <v>274</v>
      </c>
      <c r="B292" s="67" t="s">
        <v>240</v>
      </c>
      <c r="C292" s="68" t="s">
        <v>242</v>
      </c>
      <c r="D292" s="67" t="s">
        <v>262</v>
      </c>
      <c r="E292" s="68" t="s">
        <v>272</v>
      </c>
      <c r="F292" s="68">
        <v>350</v>
      </c>
      <c r="G292" s="131">
        <v>327</v>
      </c>
      <c r="H292" s="166"/>
    </row>
    <row r="293" spans="1:13" x14ac:dyDescent="0.2">
      <c r="A293" s="61" t="s">
        <v>275</v>
      </c>
      <c r="B293" s="94" t="s">
        <v>240</v>
      </c>
      <c r="C293" s="96">
        <v>10</v>
      </c>
      <c r="D293" s="94" t="s">
        <v>160</v>
      </c>
      <c r="E293" s="96"/>
      <c r="F293" s="96"/>
      <c r="G293" s="219">
        <f t="shared" ref="G293:G299" si="1">G294</f>
        <v>3629.7</v>
      </c>
      <c r="H293" s="166"/>
      <c r="I293" s="148"/>
    </row>
    <row r="294" spans="1:13" ht="22.5" x14ac:dyDescent="0.2">
      <c r="A294" s="66" t="s">
        <v>276</v>
      </c>
      <c r="B294" s="67" t="s">
        <v>240</v>
      </c>
      <c r="C294" s="68">
        <v>10</v>
      </c>
      <c r="D294" s="67" t="s">
        <v>160</v>
      </c>
      <c r="E294" s="68" t="s">
        <v>245</v>
      </c>
      <c r="F294" s="68"/>
      <c r="G294" s="140">
        <f t="shared" si="1"/>
        <v>3629.7</v>
      </c>
      <c r="H294" s="166"/>
    </row>
    <row r="295" spans="1:13" x14ac:dyDescent="0.2">
      <c r="A295" s="66" t="s">
        <v>246</v>
      </c>
      <c r="B295" s="67" t="s">
        <v>240</v>
      </c>
      <c r="C295" s="68">
        <v>10</v>
      </c>
      <c r="D295" s="67" t="s">
        <v>277</v>
      </c>
      <c r="E295" s="84" t="s">
        <v>247</v>
      </c>
      <c r="F295" s="68"/>
      <c r="G295" s="140">
        <f t="shared" si="1"/>
        <v>3629.7</v>
      </c>
      <c r="H295" s="166"/>
    </row>
    <row r="296" spans="1:13" ht="45" x14ac:dyDescent="0.2">
      <c r="A296" s="66" t="s">
        <v>278</v>
      </c>
      <c r="B296" s="67" t="s">
        <v>240</v>
      </c>
      <c r="C296" s="68" t="s">
        <v>186</v>
      </c>
      <c r="D296" s="67" t="s">
        <v>160</v>
      </c>
      <c r="E296" s="68" t="s">
        <v>279</v>
      </c>
      <c r="F296" s="68" t="s">
        <v>184</v>
      </c>
      <c r="G296" s="131">
        <f>G298</f>
        <v>3629.7</v>
      </c>
      <c r="H296" s="166"/>
    </row>
    <row r="297" spans="1:13" ht="45" x14ac:dyDescent="0.2">
      <c r="A297" s="304" t="s">
        <v>280</v>
      </c>
      <c r="B297" s="305" t="s">
        <v>240</v>
      </c>
      <c r="C297" s="306" t="s">
        <v>186</v>
      </c>
      <c r="D297" s="305" t="s">
        <v>160</v>
      </c>
      <c r="E297" s="306" t="s">
        <v>281</v>
      </c>
      <c r="F297" s="306"/>
      <c r="G297" s="307">
        <f>G298</f>
        <v>3629.7</v>
      </c>
      <c r="H297" s="166"/>
    </row>
    <row r="298" spans="1:13" x14ac:dyDescent="0.2">
      <c r="A298" s="75" t="s">
        <v>197</v>
      </c>
      <c r="B298" s="67" t="s">
        <v>240</v>
      </c>
      <c r="C298" s="68" t="s">
        <v>186</v>
      </c>
      <c r="D298" s="67" t="s">
        <v>160</v>
      </c>
      <c r="E298" s="68" t="s">
        <v>281</v>
      </c>
      <c r="F298" s="73" t="s">
        <v>198</v>
      </c>
      <c r="G298" s="139">
        <f t="shared" si="1"/>
        <v>3629.7</v>
      </c>
      <c r="H298" s="166"/>
    </row>
    <row r="299" spans="1:13" x14ac:dyDescent="0.2">
      <c r="A299" s="75" t="s">
        <v>199</v>
      </c>
      <c r="B299" s="67" t="s">
        <v>240</v>
      </c>
      <c r="C299" s="68" t="s">
        <v>186</v>
      </c>
      <c r="D299" s="67" t="s">
        <v>160</v>
      </c>
      <c r="E299" s="68" t="s">
        <v>281</v>
      </c>
      <c r="F299" s="78">
        <v>310</v>
      </c>
      <c r="G299" s="139">
        <f t="shared" si="1"/>
        <v>3629.7</v>
      </c>
      <c r="H299" s="173"/>
    </row>
    <row r="300" spans="1:13" ht="22.5" x14ac:dyDescent="0.2">
      <c r="A300" s="70" t="s">
        <v>200</v>
      </c>
      <c r="B300" s="67" t="s">
        <v>240</v>
      </c>
      <c r="C300" s="68" t="s">
        <v>186</v>
      </c>
      <c r="D300" s="67" t="s">
        <v>160</v>
      </c>
      <c r="E300" s="68" t="s">
        <v>281</v>
      </c>
      <c r="F300" s="78">
        <v>313</v>
      </c>
      <c r="G300" s="139">
        <v>3629.7</v>
      </c>
      <c r="H300" s="173"/>
    </row>
    <row r="301" spans="1:13" ht="21" x14ac:dyDescent="0.2">
      <c r="A301" s="179" t="s">
        <v>282</v>
      </c>
      <c r="B301" s="110" t="s">
        <v>283</v>
      </c>
      <c r="C301" s="109" t="s">
        <v>182</v>
      </c>
      <c r="D301" s="110" t="s">
        <v>182</v>
      </c>
      <c r="E301" s="109" t="s">
        <v>183</v>
      </c>
      <c r="F301" s="109" t="s">
        <v>184</v>
      </c>
      <c r="G301" s="180">
        <f>G302</f>
        <v>2969.9</v>
      </c>
      <c r="H301" s="231"/>
      <c r="I301" s="232"/>
    </row>
    <row r="302" spans="1:13" ht="34.5" customHeight="1" x14ac:dyDescent="0.2">
      <c r="A302" s="98" t="s">
        <v>284</v>
      </c>
      <c r="B302" s="99" t="s">
        <v>283</v>
      </c>
      <c r="C302" s="97" t="s">
        <v>160</v>
      </c>
      <c r="D302" s="99" t="s">
        <v>182</v>
      </c>
      <c r="E302" s="97" t="s">
        <v>183</v>
      </c>
      <c r="F302" s="97" t="s">
        <v>184</v>
      </c>
      <c r="G302" s="133">
        <f>G303+G321</f>
        <v>2969.9</v>
      </c>
      <c r="H302" s="171"/>
      <c r="I302" s="220"/>
    </row>
    <row r="303" spans="1:13" ht="33" customHeight="1" x14ac:dyDescent="0.2">
      <c r="A303" s="98" t="s">
        <v>285</v>
      </c>
      <c r="B303" s="99" t="s">
        <v>283</v>
      </c>
      <c r="C303" s="97" t="s">
        <v>160</v>
      </c>
      <c r="D303" s="99" t="s">
        <v>286</v>
      </c>
      <c r="E303" s="97" t="s">
        <v>183</v>
      </c>
      <c r="F303" s="97" t="s">
        <v>184</v>
      </c>
      <c r="G303" s="133">
        <f>G304</f>
        <v>2269.9</v>
      </c>
      <c r="H303" s="170"/>
    </row>
    <row r="304" spans="1:13" s="79" customFormat="1" ht="33.75" x14ac:dyDescent="0.2">
      <c r="A304" s="83" t="s">
        <v>287</v>
      </c>
      <c r="B304" s="87" t="s">
        <v>283</v>
      </c>
      <c r="C304" s="84" t="s">
        <v>160</v>
      </c>
      <c r="D304" s="87" t="s">
        <v>286</v>
      </c>
      <c r="E304" s="84" t="s">
        <v>288</v>
      </c>
      <c r="F304" s="84"/>
      <c r="G304" s="135">
        <f>G305</f>
        <v>2269.9</v>
      </c>
      <c r="H304" s="170"/>
      <c r="I304" s="151"/>
      <c r="J304" s="151"/>
      <c r="K304" s="151"/>
      <c r="L304" s="151"/>
      <c r="M304" s="151"/>
    </row>
    <row r="305" spans="1:13" s="79" customFormat="1" ht="11.25" x14ac:dyDescent="0.2">
      <c r="A305" s="83" t="s">
        <v>226</v>
      </c>
      <c r="B305" s="87" t="s">
        <v>283</v>
      </c>
      <c r="C305" s="84" t="s">
        <v>160</v>
      </c>
      <c r="D305" s="87" t="s">
        <v>286</v>
      </c>
      <c r="E305" s="84" t="s">
        <v>289</v>
      </c>
      <c r="F305" s="84" t="s">
        <v>184</v>
      </c>
      <c r="G305" s="135">
        <f>G306</f>
        <v>2269.9</v>
      </c>
      <c r="H305" s="170"/>
      <c r="I305" s="151"/>
      <c r="J305" s="151"/>
      <c r="K305" s="151"/>
      <c r="L305" s="151"/>
      <c r="M305" s="151"/>
    </row>
    <row r="306" spans="1:13" s="79" customFormat="1" ht="22.5" x14ac:dyDescent="0.2">
      <c r="A306" s="83" t="s">
        <v>290</v>
      </c>
      <c r="B306" s="87" t="s">
        <v>283</v>
      </c>
      <c r="C306" s="84" t="s">
        <v>160</v>
      </c>
      <c r="D306" s="87" t="s">
        <v>286</v>
      </c>
      <c r="E306" s="84" t="s">
        <v>291</v>
      </c>
      <c r="F306" s="84" t="s">
        <v>184</v>
      </c>
      <c r="G306" s="135">
        <f>G307+G311+G314+G318</f>
        <v>2269.9</v>
      </c>
      <c r="H306" s="174"/>
      <c r="I306" s="151"/>
      <c r="J306" s="151"/>
      <c r="K306" s="151"/>
      <c r="L306" s="151"/>
      <c r="M306" s="151"/>
    </row>
    <row r="307" spans="1:13" ht="33.75" x14ac:dyDescent="0.2">
      <c r="A307" s="83" t="s">
        <v>139</v>
      </c>
      <c r="B307" s="87" t="s">
        <v>283</v>
      </c>
      <c r="C307" s="84" t="s">
        <v>160</v>
      </c>
      <c r="D307" s="87" t="s">
        <v>286</v>
      </c>
      <c r="E307" s="84" t="s">
        <v>292</v>
      </c>
      <c r="F307" s="84" t="s">
        <v>140</v>
      </c>
      <c r="G307" s="135">
        <f>G308</f>
        <v>1947.5</v>
      </c>
      <c r="H307" s="166"/>
      <c r="I307" s="156"/>
    </row>
    <row r="308" spans="1:13" x14ac:dyDescent="0.2">
      <c r="A308" s="83" t="s">
        <v>168</v>
      </c>
      <c r="B308" s="87" t="s">
        <v>283</v>
      </c>
      <c r="C308" s="84" t="s">
        <v>160</v>
      </c>
      <c r="D308" s="87" t="s">
        <v>286</v>
      </c>
      <c r="E308" s="84" t="s">
        <v>292</v>
      </c>
      <c r="F308" s="84" t="s">
        <v>232</v>
      </c>
      <c r="G308" s="135">
        <f>G309+G310</f>
        <v>1947.5</v>
      </c>
      <c r="H308" s="166"/>
    </row>
    <row r="309" spans="1:13" x14ac:dyDescent="0.2">
      <c r="A309" s="114" t="s">
        <v>169</v>
      </c>
      <c r="B309" s="87" t="s">
        <v>283</v>
      </c>
      <c r="C309" s="84" t="s">
        <v>160</v>
      </c>
      <c r="D309" s="87" t="s">
        <v>286</v>
      </c>
      <c r="E309" s="84" t="s">
        <v>292</v>
      </c>
      <c r="F309" s="84">
        <v>121</v>
      </c>
      <c r="G309" s="135">
        <v>1495.8</v>
      </c>
      <c r="H309" s="166"/>
    </row>
    <row r="310" spans="1:13" ht="33.75" x14ac:dyDescent="0.2">
      <c r="A310" s="114" t="s">
        <v>170</v>
      </c>
      <c r="B310" s="87" t="s">
        <v>283</v>
      </c>
      <c r="C310" s="84" t="s">
        <v>160</v>
      </c>
      <c r="D310" s="87" t="s">
        <v>286</v>
      </c>
      <c r="E310" s="84" t="s">
        <v>292</v>
      </c>
      <c r="F310" s="84">
        <v>129</v>
      </c>
      <c r="G310" s="135">
        <v>451.7</v>
      </c>
      <c r="H310" s="166"/>
    </row>
    <row r="311" spans="1:13" ht="33.75" x14ac:dyDescent="0.2">
      <c r="A311" s="83" t="s">
        <v>139</v>
      </c>
      <c r="B311" s="87" t="s">
        <v>283</v>
      </c>
      <c r="C311" s="84" t="s">
        <v>160</v>
      </c>
      <c r="D311" s="87" t="s">
        <v>286</v>
      </c>
      <c r="E311" s="84" t="s">
        <v>294</v>
      </c>
      <c r="F311" s="84">
        <v>100</v>
      </c>
      <c r="G311" s="135">
        <f>G312</f>
        <v>190.9</v>
      </c>
      <c r="H311" s="166"/>
    </row>
    <row r="312" spans="1:13" x14ac:dyDescent="0.2">
      <c r="A312" s="83" t="s">
        <v>168</v>
      </c>
      <c r="B312" s="87" t="s">
        <v>283</v>
      </c>
      <c r="C312" s="84" t="s">
        <v>160</v>
      </c>
      <c r="D312" s="87" t="s">
        <v>286</v>
      </c>
      <c r="E312" s="84" t="s">
        <v>294</v>
      </c>
      <c r="F312" s="84">
        <v>120</v>
      </c>
      <c r="G312" s="135">
        <f>G313</f>
        <v>190.9</v>
      </c>
      <c r="H312" s="166"/>
    </row>
    <row r="313" spans="1:13" ht="22.5" x14ac:dyDescent="0.2">
      <c r="A313" s="69" t="s">
        <v>293</v>
      </c>
      <c r="B313" s="87" t="s">
        <v>283</v>
      </c>
      <c r="C313" s="84" t="s">
        <v>160</v>
      </c>
      <c r="D313" s="87" t="s">
        <v>286</v>
      </c>
      <c r="E313" s="84" t="s">
        <v>294</v>
      </c>
      <c r="F313" s="84">
        <v>122</v>
      </c>
      <c r="G313" s="135">
        <v>190.9</v>
      </c>
      <c r="H313" s="166"/>
    </row>
    <row r="314" spans="1:13" x14ac:dyDescent="0.2">
      <c r="A314" s="83" t="s">
        <v>650</v>
      </c>
      <c r="B314" s="87" t="s">
        <v>283</v>
      </c>
      <c r="C314" s="84" t="s">
        <v>160</v>
      </c>
      <c r="D314" s="87" t="s">
        <v>286</v>
      </c>
      <c r="E314" s="84" t="s">
        <v>294</v>
      </c>
      <c r="F314" s="84" t="s">
        <v>150</v>
      </c>
      <c r="G314" s="135">
        <f>G315</f>
        <v>130</v>
      </c>
      <c r="H314" s="166"/>
    </row>
    <row r="315" spans="1:13" ht="22.5" x14ac:dyDescent="0.2">
      <c r="A315" s="83" t="s">
        <v>151</v>
      </c>
      <c r="B315" s="87" t="s">
        <v>283</v>
      </c>
      <c r="C315" s="84" t="s">
        <v>160</v>
      </c>
      <c r="D315" s="87" t="s">
        <v>286</v>
      </c>
      <c r="E315" s="84" t="s">
        <v>294</v>
      </c>
      <c r="F315" s="84" t="s">
        <v>152</v>
      </c>
      <c r="G315" s="135">
        <f>G317+G316</f>
        <v>130</v>
      </c>
      <c r="H315" s="166"/>
    </row>
    <row r="316" spans="1:13" ht="22.5" x14ac:dyDescent="0.2">
      <c r="A316" s="115" t="s">
        <v>171</v>
      </c>
      <c r="B316" s="87" t="s">
        <v>283</v>
      </c>
      <c r="C316" s="84" t="s">
        <v>160</v>
      </c>
      <c r="D316" s="87" t="s">
        <v>286</v>
      </c>
      <c r="E316" s="84" t="s">
        <v>294</v>
      </c>
      <c r="F316" s="84">
        <v>242</v>
      </c>
      <c r="G316" s="135">
        <v>40.200000000000003</v>
      </c>
      <c r="H316" s="166"/>
    </row>
    <row r="317" spans="1:13" ht="22.5" x14ac:dyDescent="0.2">
      <c r="A317" s="115" t="s">
        <v>153</v>
      </c>
      <c r="B317" s="87" t="s">
        <v>283</v>
      </c>
      <c r="C317" s="84" t="s">
        <v>160</v>
      </c>
      <c r="D317" s="87" t="s">
        <v>286</v>
      </c>
      <c r="E317" s="84" t="s">
        <v>294</v>
      </c>
      <c r="F317" s="84" t="s">
        <v>154</v>
      </c>
      <c r="G317" s="135">
        <v>89.8</v>
      </c>
      <c r="H317" s="166"/>
    </row>
    <row r="318" spans="1:13" x14ac:dyDescent="0.2">
      <c r="A318" s="115" t="s">
        <v>172</v>
      </c>
      <c r="B318" s="87" t="s">
        <v>283</v>
      </c>
      <c r="C318" s="84" t="s">
        <v>160</v>
      </c>
      <c r="D318" s="87" t="s">
        <v>286</v>
      </c>
      <c r="E318" s="84" t="s">
        <v>294</v>
      </c>
      <c r="F318" s="84" t="s">
        <v>235</v>
      </c>
      <c r="G318" s="135">
        <f>G319</f>
        <v>1.5</v>
      </c>
      <c r="H318" s="166"/>
    </row>
    <row r="319" spans="1:13" x14ac:dyDescent="0.2">
      <c r="A319" s="115" t="s">
        <v>173</v>
      </c>
      <c r="B319" s="87" t="s">
        <v>283</v>
      </c>
      <c r="C319" s="84" t="s">
        <v>160</v>
      </c>
      <c r="D319" s="87" t="s">
        <v>286</v>
      </c>
      <c r="E319" s="84" t="s">
        <v>294</v>
      </c>
      <c r="F319" s="84" t="s">
        <v>174</v>
      </c>
      <c r="G319" s="135">
        <f>G320</f>
        <v>1.5</v>
      </c>
      <c r="H319" s="166"/>
    </row>
    <row r="320" spans="1:13" x14ac:dyDescent="0.2">
      <c r="A320" s="70" t="s">
        <v>236</v>
      </c>
      <c r="B320" s="87" t="s">
        <v>283</v>
      </c>
      <c r="C320" s="84" t="s">
        <v>160</v>
      </c>
      <c r="D320" s="87" t="s">
        <v>286</v>
      </c>
      <c r="E320" s="84" t="s">
        <v>294</v>
      </c>
      <c r="F320" s="84" t="s">
        <v>258</v>
      </c>
      <c r="G320" s="135">
        <v>1.5</v>
      </c>
      <c r="H320" s="166"/>
    </row>
    <row r="321" spans="1:9" x14ac:dyDescent="0.2">
      <c r="A321" s="98" t="s">
        <v>296</v>
      </c>
      <c r="B321" s="99" t="s">
        <v>283</v>
      </c>
      <c r="C321" s="99" t="s">
        <v>160</v>
      </c>
      <c r="D321" s="99" t="s">
        <v>297</v>
      </c>
      <c r="E321" s="97"/>
      <c r="F321" s="97"/>
      <c r="G321" s="142">
        <f>G322</f>
        <v>700</v>
      </c>
      <c r="H321" s="166"/>
    </row>
    <row r="322" spans="1:9" ht="31.5" x14ac:dyDescent="0.2">
      <c r="A322" s="98" t="s">
        <v>298</v>
      </c>
      <c r="B322" s="99" t="s">
        <v>283</v>
      </c>
      <c r="C322" s="99" t="s">
        <v>160</v>
      </c>
      <c r="D322" s="99" t="s">
        <v>297</v>
      </c>
      <c r="E322" s="97" t="s">
        <v>288</v>
      </c>
      <c r="F322" s="97" t="s">
        <v>184</v>
      </c>
      <c r="G322" s="142">
        <f>G323+G348+G345</f>
        <v>700</v>
      </c>
      <c r="H322" s="166"/>
    </row>
    <row r="323" spans="1:9" x14ac:dyDescent="0.2">
      <c r="A323" s="83" t="s">
        <v>299</v>
      </c>
      <c r="B323" s="87" t="s">
        <v>283</v>
      </c>
      <c r="C323" s="87" t="s">
        <v>160</v>
      </c>
      <c r="D323" s="87" t="s">
        <v>297</v>
      </c>
      <c r="E323" s="84" t="s">
        <v>300</v>
      </c>
      <c r="F323" s="84"/>
      <c r="G323" s="141">
        <f>G324+G328+G332+G336+G340</f>
        <v>440</v>
      </c>
      <c r="H323" s="166"/>
    </row>
    <row r="324" spans="1:9" ht="22.5" x14ac:dyDescent="0.2">
      <c r="A324" s="83" t="s">
        <v>301</v>
      </c>
      <c r="B324" s="87" t="s">
        <v>283</v>
      </c>
      <c r="C324" s="87" t="s">
        <v>160</v>
      </c>
      <c r="D324" s="87" t="s">
        <v>297</v>
      </c>
      <c r="E324" s="84" t="s">
        <v>302</v>
      </c>
      <c r="F324" s="84"/>
      <c r="G324" s="141">
        <f>G325</f>
        <v>80</v>
      </c>
      <c r="H324" s="166"/>
    </row>
    <row r="325" spans="1:9" x14ac:dyDescent="0.2">
      <c r="A325" s="83" t="s">
        <v>650</v>
      </c>
      <c r="B325" s="87" t="s">
        <v>283</v>
      </c>
      <c r="C325" s="87" t="s">
        <v>160</v>
      </c>
      <c r="D325" s="87" t="s">
        <v>297</v>
      </c>
      <c r="E325" s="84" t="s">
        <v>302</v>
      </c>
      <c r="F325" s="84" t="s">
        <v>150</v>
      </c>
      <c r="G325" s="141">
        <f>G326</f>
        <v>80</v>
      </c>
      <c r="H325" s="166"/>
    </row>
    <row r="326" spans="1:9" ht="22.5" x14ac:dyDescent="0.2">
      <c r="A326" s="83" t="s">
        <v>151</v>
      </c>
      <c r="B326" s="87" t="s">
        <v>283</v>
      </c>
      <c r="C326" s="87" t="s">
        <v>160</v>
      </c>
      <c r="D326" s="87" t="s">
        <v>297</v>
      </c>
      <c r="E326" s="84" t="s">
        <v>302</v>
      </c>
      <c r="F326" s="84" t="s">
        <v>152</v>
      </c>
      <c r="G326" s="141">
        <f>G327</f>
        <v>80</v>
      </c>
      <c r="H326" s="174"/>
    </row>
    <row r="327" spans="1:9" ht="22.5" x14ac:dyDescent="0.2">
      <c r="A327" s="115" t="s">
        <v>153</v>
      </c>
      <c r="B327" s="87" t="s">
        <v>283</v>
      </c>
      <c r="C327" s="87" t="s">
        <v>160</v>
      </c>
      <c r="D327" s="87" t="s">
        <v>297</v>
      </c>
      <c r="E327" s="84" t="s">
        <v>302</v>
      </c>
      <c r="F327" s="84" t="s">
        <v>154</v>
      </c>
      <c r="G327" s="141">
        <v>80</v>
      </c>
      <c r="H327" s="174"/>
      <c r="I327" s="156"/>
    </row>
    <row r="328" spans="1:9" ht="33.75" x14ac:dyDescent="0.2">
      <c r="A328" s="83" t="s">
        <v>303</v>
      </c>
      <c r="B328" s="87" t="s">
        <v>283</v>
      </c>
      <c r="C328" s="87" t="s">
        <v>160</v>
      </c>
      <c r="D328" s="87" t="s">
        <v>297</v>
      </c>
      <c r="E328" s="84" t="s">
        <v>304</v>
      </c>
      <c r="F328" s="84"/>
      <c r="G328" s="141">
        <f>G329</f>
        <v>30</v>
      </c>
      <c r="H328" s="174"/>
    </row>
    <row r="329" spans="1:9" x14ac:dyDescent="0.2">
      <c r="A329" s="83" t="s">
        <v>650</v>
      </c>
      <c r="B329" s="87" t="s">
        <v>283</v>
      </c>
      <c r="C329" s="87" t="s">
        <v>160</v>
      </c>
      <c r="D329" s="87" t="s">
        <v>297</v>
      </c>
      <c r="E329" s="84" t="s">
        <v>304</v>
      </c>
      <c r="F329" s="84" t="s">
        <v>150</v>
      </c>
      <c r="G329" s="141">
        <f>G330</f>
        <v>30</v>
      </c>
      <c r="H329" s="174"/>
    </row>
    <row r="330" spans="1:9" ht="22.5" x14ac:dyDescent="0.2">
      <c r="A330" s="83" t="s">
        <v>151</v>
      </c>
      <c r="B330" s="87" t="s">
        <v>283</v>
      </c>
      <c r="C330" s="87" t="s">
        <v>160</v>
      </c>
      <c r="D330" s="87" t="s">
        <v>297</v>
      </c>
      <c r="E330" s="84" t="s">
        <v>304</v>
      </c>
      <c r="F330" s="84" t="s">
        <v>152</v>
      </c>
      <c r="G330" s="141">
        <f>G331</f>
        <v>30</v>
      </c>
      <c r="H330" s="174"/>
    </row>
    <row r="331" spans="1:9" ht="22.5" x14ac:dyDescent="0.2">
      <c r="A331" s="115" t="s">
        <v>153</v>
      </c>
      <c r="B331" s="87" t="s">
        <v>283</v>
      </c>
      <c r="C331" s="87" t="s">
        <v>160</v>
      </c>
      <c r="D331" s="87" t="s">
        <v>297</v>
      </c>
      <c r="E331" s="84" t="s">
        <v>304</v>
      </c>
      <c r="F331" s="84" t="s">
        <v>154</v>
      </c>
      <c r="G331" s="141">
        <v>30</v>
      </c>
      <c r="H331" s="174"/>
    </row>
    <row r="332" spans="1:9" x14ac:dyDescent="0.2">
      <c r="A332" s="83" t="s">
        <v>305</v>
      </c>
      <c r="B332" s="87" t="s">
        <v>283</v>
      </c>
      <c r="C332" s="87" t="s">
        <v>160</v>
      </c>
      <c r="D332" s="87" t="s">
        <v>297</v>
      </c>
      <c r="E332" s="84" t="s">
        <v>306</v>
      </c>
      <c r="F332" s="84"/>
      <c r="G332" s="141">
        <f>G333</f>
        <v>100</v>
      </c>
      <c r="H332" s="174"/>
    </row>
    <row r="333" spans="1:9" x14ac:dyDescent="0.2">
      <c r="A333" s="83" t="s">
        <v>650</v>
      </c>
      <c r="B333" s="87" t="s">
        <v>283</v>
      </c>
      <c r="C333" s="87" t="s">
        <v>160</v>
      </c>
      <c r="D333" s="87" t="s">
        <v>297</v>
      </c>
      <c r="E333" s="84" t="s">
        <v>306</v>
      </c>
      <c r="F333" s="84" t="s">
        <v>150</v>
      </c>
      <c r="G333" s="141">
        <f>G334</f>
        <v>100</v>
      </c>
      <c r="H333" s="174"/>
    </row>
    <row r="334" spans="1:9" ht="27" customHeight="1" x14ac:dyDescent="0.2">
      <c r="A334" s="83" t="s">
        <v>151</v>
      </c>
      <c r="B334" s="87" t="s">
        <v>283</v>
      </c>
      <c r="C334" s="87" t="s">
        <v>160</v>
      </c>
      <c r="D334" s="87" t="s">
        <v>297</v>
      </c>
      <c r="E334" s="84" t="s">
        <v>306</v>
      </c>
      <c r="F334" s="84" t="s">
        <v>152</v>
      </c>
      <c r="G334" s="141">
        <f>G335</f>
        <v>100</v>
      </c>
      <c r="H334" s="174"/>
    </row>
    <row r="335" spans="1:9" ht="22.5" x14ac:dyDescent="0.2">
      <c r="A335" s="115" t="s">
        <v>153</v>
      </c>
      <c r="B335" s="87" t="s">
        <v>283</v>
      </c>
      <c r="C335" s="87" t="s">
        <v>160</v>
      </c>
      <c r="D335" s="87" t="s">
        <v>297</v>
      </c>
      <c r="E335" s="84" t="s">
        <v>306</v>
      </c>
      <c r="F335" s="84" t="s">
        <v>154</v>
      </c>
      <c r="G335" s="141">
        <v>100</v>
      </c>
      <c r="H335" s="174"/>
    </row>
    <row r="336" spans="1:9" ht="22.5" x14ac:dyDescent="0.2">
      <c r="A336" s="83" t="s">
        <v>307</v>
      </c>
      <c r="B336" s="87" t="s">
        <v>283</v>
      </c>
      <c r="C336" s="87" t="s">
        <v>160</v>
      </c>
      <c r="D336" s="87" t="s">
        <v>297</v>
      </c>
      <c r="E336" s="84" t="s">
        <v>308</v>
      </c>
      <c r="F336" s="84"/>
      <c r="G336" s="141">
        <f>G337</f>
        <v>200</v>
      </c>
      <c r="H336" s="174"/>
    </row>
    <row r="337" spans="1:8" x14ac:dyDescent="0.2">
      <c r="A337" s="83" t="s">
        <v>650</v>
      </c>
      <c r="B337" s="87" t="s">
        <v>283</v>
      </c>
      <c r="C337" s="87" t="s">
        <v>160</v>
      </c>
      <c r="D337" s="87" t="s">
        <v>297</v>
      </c>
      <c r="E337" s="84" t="s">
        <v>308</v>
      </c>
      <c r="F337" s="84" t="s">
        <v>150</v>
      </c>
      <c r="G337" s="141">
        <f>G338</f>
        <v>200</v>
      </c>
      <c r="H337" s="174"/>
    </row>
    <row r="338" spans="1:8" ht="22.5" x14ac:dyDescent="0.2">
      <c r="A338" s="83" t="s">
        <v>151</v>
      </c>
      <c r="B338" s="87" t="s">
        <v>283</v>
      </c>
      <c r="C338" s="87" t="s">
        <v>160</v>
      </c>
      <c r="D338" s="87" t="s">
        <v>297</v>
      </c>
      <c r="E338" s="84" t="s">
        <v>308</v>
      </c>
      <c r="F338" s="84" t="s">
        <v>152</v>
      </c>
      <c r="G338" s="141">
        <f>G339</f>
        <v>200</v>
      </c>
      <c r="H338" s="174"/>
    </row>
    <row r="339" spans="1:8" ht="22.5" x14ac:dyDescent="0.2">
      <c r="A339" s="115" t="s">
        <v>153</v>
      </c>
      <c r="B339" s="87" t="s">
        <v>283</v>
      </c>
      <c r="C339" s="87" t="s">
        <v>160</v>
      </c>
      <c r="D339" s="87" t="s">
        <v>297</v>
      </c>
      <c r="E339" s="84" t="s">
        <v>308</v>
      </c>
      <c r="F339" s="84" t="s">
        <v>154</v>
      </c>
      <c r="G339" s="141">
        <v>200</v>
      </c>
      <c r="H339" s="174"/>
    </row>
    <row r="340" spans="1:8" x14ac:dyDescent="0.2">
      <c r="A340" s="83" t="s">
        <v>309</v>
      </c>
      <c r="B340" s="87" t="s">
        <v>283</v>
      </c>
      <c r="C340" s="87" t="s">
        <v>160</v>
      </c>
      <c r="D340" s="87" t="s">
        <v>297</v>
      </c>
      <c r="E340" s="84" t="s">
        <v>310</v>
      </c>
      <c r="F340" s="84"/>
      <c r="G340" s="141">
        <f>G341</f>
        <v>30</v>
      </c>
      <c r="H340" s="174"/>
    </row>
    <row r="341" spans="1:8" x14ac:dyDescent="0.2">
      <c r="A341" s="83" t="s">
        <v>650</v>
      </c>
      <c r="B341" s="87" t="s">
        <v>283</v>
      </c>
      <c r="C341" s="87" t="s">
        <v>160</v>
      </c>
      <c r="D341" s="87" t="s">
        <v>297</v>
      </c>
      <c r="E341" s="84" t="s">
        <v>310</v>
      </c>
      <c r="F341" s="84" t="s">
        <v>150</v>
      </c>
      <c r="G341" s="141">
        <f>G342</f>
        <v>30</v>
      </c>
      <c r="H341" s="174"/>
    </row>
    <row r="342" spans="1:8" ht="22.5" x14ac:dyDescent="0.2">
      <c r="A342" s="83" t="s">
        <v>151</v>
      </c>
      <c r="B342" s="87" t="s">
        <v>283</v>
      </c>
      <c r="C342" s="87" t="s">
        <v>160</v>
      </c>
      <c r="D342" s="87" t="s">
        <v>297</v>
      </c>
      <c r="E342" s="84" t="s">
        <v>310</v>
      </c>
      <c r="F342" s="84" t="s">
        <v>152</v>
      </c>
      <c r="G342" s="141">
        <f>G343</f>
        <v>30</v>
      </c>
      <c r="H342" s="174"/>
    </row>
    <row r="343" spans="1:8" ht="22.5" x14ac:dyDescent="0.2">
      <c r="A343" s="115" t="s">
        <v>153</v>
      </c>
      <c r="B343" s="87" t="s">
        <v>283</v>
      </c>
      <c r="C343" s="87" t="s">
        <v>160</v>
      </c>
      <c r="D343" s="87" t="s">
        <v>297</v>
      </c>
      <c r="E343" s="84" t="s">
        <v>310</v>
      </c>
      <c r="F343" s="84" t="s">
        <v>154</v>
      </c>
      <c r="G343" s="141">
        <v>30</v>
      </c>
      <c r="H343" s="174"/>
    </row>
    <row r="344" spans="1:8" x14ac:dyDescent="0.2">
      <c r="A344" s="115" t="s">
        <v>311</v>
      </c>
      <c r="B344" s="87" t="s">
        <v>283</v>
      </c>
      <c r="C344" s="87" t="s">
        <v>160</v>
      </c>
      <c r="D344" s="87" t="s">
        <v>297</v>
      </c>
      <c r="E344" s="84" t="s">
        <v>312</v>
      </c>
      <c r="F344" s="84"/>
      <c r="G344" s="141">
        <f>G345</f>
        <v>66.2</v>
      </c>
      <c r="H344" s="174"/>
    </row>
    <row r="345" spans="1:8" x14ac:dyDescent="0.2">
      <c r="A345" s="83" t="s">
        <v>313</v>
      </c>
      <c r="B345" s="87" t="s">
        <v>283</v>
      </c>
      <c r="C345" s="87" t="s">
        <v>160</v>
      </c>
      <c r="D345" s="87" t="s">
        <v>297</v>
      </c>
      <c r="E345" s="84" t="s">
        <v>314</v>
      </c>
      <c r="F345" s="84"/>
      <c r="G345" s="141">
        <f>G346</f>
        <v>66.2</v>
      </c>
      <c r="H345" s="174"/>
    </row>
    <row r="346" spans="1:8" x14ac:dyDescent="0.2">
      <c r="A346" s="83" t="s">
        <v>172</v>
      </c>
      <c r="B346" s="87" t="s">
        <v>283</v>
      </c>
      <c r="C346" s="87" t="s">
        <v>160</v>
      </c>
      <c r="D346" s="87" t="s">
        <v>297</v>
      </c>
      <c r="E346" s="84" t="s">
        <v>314</v>
      </c>
      <c r="F346" s="84">
        <v>800</v>
      </c>
      <c r="G346" s="141">
        <f>G347</f>
        <v>66.2</v>
      </c>
      <c r="H346" s="174"/>
    </row>
    <row r="347" spans="1:8" ht="33.75" x14ac:dyDescent="0.2">
      <c r="A347" s="115" t="s">
        <v>653</v>
      </c>
      <c r="B347" s="87" t="s">
        <v>283</v>
      </c>
      <c r="C347" s="87" t="s">
        <v>160</v>
      </c>
      <c r="D347" s="87" t="s">
        <v>297</v>
      </c>
      <c r="E347" s="84" t="s">
        <v>314</v>
      </c>
      <c r="F347" s="84">
        <v>810</v>
      </c>
      <c r="G347" s="141">
        <v>66.2</v>
      </c>
      <c r="H347" s="174"/>
    </row>
    <row r="348" spans="1:8" ht="22.5" x14ac:dyDescent="0.2">
      <c r="A348" s="83" t="s">
        <v>316</v>
      </c>
      <c r="B348" s="87" t="s">
        <v>283</v>
      </c>
      <c r="C348" s="87" t="s">
        <v>160</v>
      </c>
      <c r="D348" s="87" t="s">
        <v>297</v>
      </c>
      <c r="E348" s="84" t="s">
        <v>317</v>
      </c>
      <c r="F348" s="84"/>
      <c r="G348" s="141">
        <f>G349</f>
        <v>193.8</v>
      </c>
      <c r="H348" s="174"/>
    </row>
    <row r="349" spans="1:8" ht="22.5" x14ac:dyDescent="0.2">
      <c r="A349" s="83" t="s">
        <v>318</v>
      </c>
      <c r="B349" s="87" t="s">
        <v>283</v>
      </c>
      <c r="C349" s="87" t="s">
        <v>160</v>
      </c>
      <c r="D349" s="87" t="s">
        <v>297</v>
      </c>
      <c r="E349" s="84" t="s">
        <v>319</v>
      </c>
      <c r="F349" s="84"/>
      <c r="G349" s="141">
        <f>G350</f>
        <v>193.8</v>
      </c>
      <c r="H349" s="174"/>
    </row>
    <row r="350" spans="1:8" x14ac:dyDescent="0.2">
      <c r="A350" s="75" t="s">
        <v>197</v>
      </c>
      <c r="B350" s="87" t="s">
        <v>283</v>
      </c>
      <c r="C350" s="87" t="s">
        <v>160</v>
      </c>
      <c r="D350" s="87" t="s">
        <v>297</v>
      </c>
      <c r="E350" s="84" t="s">
        <v>319</v>
      </c>
      <c r="F350" s="84">
        <v>300</v>
      </c>
      <c r="G350" s="141">
        <f>G351</f>
        <v>193.8</v>
      </c>
      <c r="H350" s="174"/>
    </row>
    <row r="351" spans="1:8" ht="33.75" x14ac:dyDescent="0.2">
      <c r="A351" s="83" t="s">
        <v>572</v>
      </c>
      <c r="B351" s="87" t="s">
        <v>283</v>
      </c>
      <c r="C351" s="87" t="s">
        <v>160</v>
      </c>
      <c r="D351" s="87" t="s">
        <v>297</v>
      </c>
      <c r="E351" s="84" t="s">
        <v>319</v>
      </c>
      <c r="F351" s="84">
        <v>320</v>
      </c>
      <c r="G351" s="141">
        <f>G352</f>
        <v>193.8</v>
      </c>
      <c r="H351" s="174"/>
    </row>
    <row r="352" spans="1:8" x14ac:dyDescent="0.2">
      <c r="A352" s="115" t="s">
        <v>469</v>
      </c>
      <c r="B352" s="87" t="s">
        <v>283</v>
      </c>
      <c r="C352" s="87" t="s">
        <v>160</v>
      </c>
      <c r="D352" s="87" t="s">
        <v>297</v>
      </c>
      <c r="E352" s="84" t="s">
        <v>319</v>
      </c>
      <c r="F352" s="84">
        <v>321</v>
      </c>
      <c r="G352" s="141">
        <v>193.8</v>
      </c>
      <c r="H352" s="174"/>
    </row>
    <row r="353" spans="1:9" ht="31.5" x14ac:dyDescent="0.2">
      <c r="A353" s="179" t="s">
        <v>320</v>
      </c>
      <c r="B353" s="110" t="s">
        <v>321</v>
      </c>
      <c r="C353" s="109" t="s">
        <v>182</v>
      </c>
      <c r="D353" s="110" t="s">
        <v>182</v>
      </c>
      <c r="E353" s="109" t="s">
        <v>183</v>
      </c>
      <c r="F353" s="109" t="s">
        <v>184</v>
      </c>
      <c r="G353" s="132">
        <f>SUM(G354+G392+G379+G385)</f>
        <v>19116.600000000002</v>
      </c>
      <c r="H353" s="234"/>
      <c r="I353" s="232"/>
    </row>
    <row r="354" spans="1:9" x14ac:dyDescent="0.2">
      <c r="A354" s="98" t="s">
        <v>322</v>
      </c>
      <c r="B354" s="99" t="s">
        <v>321</v>
      </c>
      <c r="C354" s="97" t="s">
        <v>122</v>
      </c>
      <c r="D354" s="99" t="s">
        <v>182</v>
      </c>
      <c r="E354" s="97" t="s">
        <v>183</v>
      </c>
      <c r="F354" s="97" t="s">
        <v>184</v>
      </c>
      <c r="G354" s="133">
        <f>G355+G374</f>
        <v>4612.1000000000004</v>
      </c>
      <c r="H354" s="222"/>
      <c r="I354" s="220"/>
    </row>
    <row r="355" spans="1:9" ht="22.5" x14ac:dyDescent="0.2">
      <c r="A355" s="83" t="s">
        <v>323</v>
      </c>
      <c r="B355" s="87" t="s">
        <v>321</v>
      </c>
      <c r="C355" s="84" t="s">
        <v>122</v>
      </c>
      <c r="D355" s="87" t="s">
        <v>222</v>
      </c>
      <c r="E355" s="84" t="s">
        <v>183</v>
      </c>
      <c r="F355" s="84" t="s">
        <v>184</v>
      </c>
      <c r="G355" s="135">
        <f>G356</f>
        <v>4606.1000000000004</v>
      </c>
      <c r="H355" s="174"/>
      <c r="I355" s="156"/>
    </row>
    <row r="356" spans="1:9" ht="22.5" x14ac:dyDescent="0.2">
      <c r="A356" s="83" t="s">
        <v>324</v>
      </c>
      <c r="B356" s="87" t="s">
        <v>321</v>
      </c>
      <c r="C356" s="84" t="s">
        <v>122</v>
      </c>
      <c r="D356" s="87" t="s">
        <v>222</v>
      </c>
      <c r="E356" s="84" t="s">
        <v>325</v>
      </c>
      <c r="F356" s="84" t="s">
        <v>184</v>
      </c>
      <c r="G356" s="135">
        <f>G357</f>
        <v>4606.1000000000004</v>
      </c>
      <c r="H356" s="174"/>
    </row>
    <row r="357" spans="1:9" ht="33.75" x14ac:dyDescent="0.2">
      <c r="A357" s="83" t="s">
        <v>326</v>
      </c>
      <c r="B357" s="87" t="s">
        <v>321</v>
      </c>
      <c r="C357" s="84" t="s">
        <v>122</v>
      </c>
      <c r="D357" s="87" t="s">
        <v>222</v>
      </c>
      <c r="E357" s="84" t="s">
        <v>327</v>
      </c>
      <c r="F357" s="84" t="s">
        <v>184</v>
      </c>
      <c r="G357" s="135">
        <f>G358</f>
        <v>4606.1000000000004</v>
      </c>
      <c r="H357" s="174"/>
    </row>
    <row r="358" spans="1:9" ht="22.5" x14ac:dyDescent="0.2">
      <c r="A358" s="83" t="s">
        <v>328</v>
      </c>
      <c r="B358" s="87" t="s">
        <v>321</v>
      </c>
      <c r="C358" s="84" t="s">
        <v>122</v>
      </c>
      <c r="D358" s="87" t="s">
        <v>222</v>
      </c>
      <c r="E358" s="84" t="s">
        <v>329</v>
      </c>
      <c r="F358" s="84"/>
      <c r="G358" s="135">
        <f>G359+G363+G366+G370</f>
        <v>4606.1000000000004</v>
      </c>
      <c r="H358" s="166"/>
    </row>
    <row r="359" spans="1:9" ht="33.75" x14ac:dyDescent="0.2">
      <c r="A359" s="83" t="s">
        <v>139</v>
      </c>
      <c r="B359" s="87" t="s">
        <v>321</v>
      </c>
      <c r="C359" s="84" t="s">
        <v>122</v>
      </c>
      <c r="D359" s="87" t="s">
        <v>222</v>
      </c>
      <c r="E359" s="84" t="s">
        <v>330</v>
      </c>
      <c r="F359" s="84" t="s">
        <v>140</v>
      </c>
      <c r="G359" s="135">
        <f>G360</f>
        <v>3804.3</v>
      </c>
      <c r="H359" s="166"/>
      <c r="I359" s="148"/>
    </row>
    <row r="360" spans="1:9" x14ac:dyDescent="0.2">
      <c r="A360" s="83" t="s">
        <v>168</v>
      </c>
      <c r="B360" s="87" t="s">
        <v>321</v>
      </c>
      <c r="C360" s="84" t="s">
        <v>122</v>
      </c>
      <c r="D360" s="87" t="s">
        <v>222</v>
      </c>
      <c r="E360" s="84" t="s">
        <v>331</v>
      </c>
      <c r="F360" s="84" t="s">
        <v>232</v>
      </c>
      <c r="G360" s="135">
        <f>G361+G362</f>
        <v>3804.3</v>
      </c>
      <c r="H360" s="166"/>
    </row>
    <row r="361" spans="1:9" x14ac:dyDescent="0.2">
      <c r="A361" s="114" t="s">
        <v>169</v>
      </c>
      <c r="B361" s="87" t="s">
        <v>321</v>
      </c>
      <c r="C361" s="84" t="s">
        <v>122</v>
      </c>
      <c r="D361" s="87" t="s">
        <v>222</v>
      </c>
      <c r="E361" s="84" t="s">
        <v>331</v>
      </c>
      <c r="F361" s="84" t="s">
        <v>233</v>
      </c>
      <c r="G361" s="135">
        <v>2922</v>
      </c>
      <c r="H361" s="166"/>
    </row>
    <row r="362" spans="1:9" ht="33.75" x14ac:dyDescent="0.2">
      <c r="A362" s="114" t="s">
        <v>170</v>
      </c>
      <c r="B362" s="87" t="s">
        <v>321</v>
      </c>
      <c r="C362" s="84" t="s">
        <v>122</v>
      </c>
      <c r="D362" s="87" t="s">
        <v>222</v>
      </c>
      <c r="E362" s="84" t="s">
        <v>331</v>
      </c>
      <c r="F362" s="84">
        <v>129</v>
      </c>
      <c r="G362" s="135">
        <v>882.3</v>
      </c>
      <c r="H362" s="166"/>
      <c r="I362" s="148"/>
    </row>
    <row r="363" spans="1:9" ht="33.75" x14ac:dyDescent="0.2">
      <c r="A363" s="83" t="s">
        <v>139</v>
      </c>
      <c r="B363" s="87" t="s">
        <v>321</v>
      </c>
      <c r="C363" s="84" t="s">
        <v>122</v>
      </c>
      <c r="D363" s="87" t="s">
        <v>222</v>
      </c>
      <c r="E363" s="84" t="s">
        <v>332</v>
      </c>
      <c r="F363" s="84">
        <v>100</v>
      </c>
      <c r="G363" s="135">
        <f>G364</f>
        <v>35.299999999999997</v>
      </c>
      <c r="H363" s="166"/>
      <c r="I363" s="148"/>
    </row>
    <row r="364" spans="1:9" x14ac:dyDescent="0.2">
      <c r="A364" s="83" t="s">
        <v>168</v>
      </c>
      <c r="B364" s="87" t="s">
        <v>321</v>
      </c>
      <c r="C364" s="84" t="s">
        <v>122</v>
      </c>
      <c r="D364" s="87" t="s">
        <v>222</v>
      </c>
      <c r="E364" s="84" t="s">
        <v>332</v>
      </c>
      <c r="F364" s="84">
        <v>120</v>
      </c>
      <c r="G364" s="135">
        <f>G365</f>
        <v>35.299999999999997</v>
      </c>
      <c r="H364" s="166"/>
      <c r="I364" s="148"/>
    </row>
    <row r="365" spans="1:9" ht="22.5" x14ac:dyDescent="0.2">
      <c r="A365" s="69" t="s">
        <v>293</v>
      </c>
      <c r="B365" s="87" t="s">
        <v>321</v>
      </c>
      <c r="C365" s="84" t="s">
        <v>122</v>
      </c>
      <c r="D365" s="87" t="s">
        <v>222</v>
      </c>
      <c r="E365" s="84" t="s">
        <v>332</v>
      </c>
      <c r="F365" s="84" t="s">
        <v>295</v>
      </c>
      <c r="G365" s="135">
        <v>35.299999999999997</v>
      </c>
      <c r="H365" s="166"/>
    </row>
    <row r="366" spans="1:9" x14ac:dyDescent="0.2">
      <c r="A366" s="83" t="s">
        <v>650</v>
      </c>
      <c r="B366" s="87" t="s">
        <v>321</v>
      </c>
      <c r="C366" s="84" t="s">
        <v>122</v>
      </c>
      <c r="D366" s="87" t="s">
        <v>222</v>
      </c>
      <c r="E366" s="84" t="s">
        <v>332</v>
      </c>
      <c r="F366" s="84" t="s">
        <v>150</v>
      </c>
      <c r="G366" s="135">
        <f>G367</f>
        <v>762.9</v>
      </c>
      <c r="H366" s="166"/>
    </row>
    <row r="367" spans="1:9" ht="22.5" x14ac:dyDescent="0.2">
      <c r="A367" s="83" t="s">
        <v>151</v>
      </c>
      <c r="B367" s="87" t="s">
        <v>321</v>
      </c>
      <c r="C367" s="84" t="s">
        <v>122</v>
      </c>
      <c r="D367" s="87" t="s">
        <v>222</v>
      </c>
      <c r="E367" s="84" t="s">
        <v>332</v>
      </c>
      <c r="F367" s="84" t="s">
        <v>152</v>
      </c>
      <c r="G367" s="135">
        <f>G369+G368</f>
        <v>762.9</v>
      </c>
      <c r="H367" s="166"/>
    </row>
    <row r="368" spans="1:9" ht="22.5" x14ac:dyDescent="0.2">
      <c r="A368" s="115" t="s">
        <v>171</v>
      </c>
      <c r="B368" s="87" t="s">
        <v>321</v>
      </c>
      <c r="C368" s="84" t="s">
        <v>122</v>
      </c>
      <c r="D368" s="87" t="s">
        <v>222</v>
      </c>
      <c r="E368" s="84" t="s">
        <v>332</v>
      </c>
      <c r="F368" s="84">
        <v>242</v>
      </c>
      <c r="G368" s="135">
        <v>422.5</v>
      </c>
      <c r="H368" s="166"/>
    </row>
    <row r="369" spans="1:13" ht="22.5" x14ac:dyDescent="0.2">
      <c r="A369" s="115" t="s">
        <v>153</v>
      </c>
      <c r="B369" s="87" t="s">
        <v>321</v>
      </c>
      <c r="C369" s="84" t="s">
        <v>122</v>
      </c>
      <c r="D369" s="87" t="s">
        <v>222</v>
      </c>
      <c r="E369" s="84" t="s">
        <v>332</v>
      </c>
      <c r="F369" s="84" t="s">
        <v>154</v>
      </c>
      <c r="G369" s="135">
        <f>339.4+1</f>
        <v>340.4</v>
      </c>
      <c r="H369" s="166"/>
    </row>
    <row r="370" spans="1:13" x14ac:dyDescent="0.2">
      <c r="A370" s="115" t="s">
        <v>172</v>
      </c>
      <c r="B370" s="87" t="s">
        <v>321</v>
      </c>
      <c r="C370" s="84" t="s">
        <v>122</v>
      </c>
      <c r="D370" s="87" t="s">
        <v>222</v>
      </c>
      <c r="E370" s="84" t="s">
        <v>332</v>
      </c>
      <c r="F370" s="84" t="s">
        <v>235</v>
      </c>
      <c r="G370" s="135">
        <f>G371</f>
        <v>3.5999999999999996</v>
      </c>
      <c r="H370" s="166"/>
    </row>
    <row r="371" spans="1:13" x14ac:dyDescent="0.2">
      <c r="A371" s="115" t="s">
        <v>173</v>
      </c>
      <c r="B371" s="87" t="s">
        <v>321</v>
      </c>
      <c r="C371" s="84" t="s">
        <v>122</v>
      </c>
      <c r="D371" s="87" t="s">
        <v>222</v>
      </c>
      <c r="E371" s="84" t="s">
        <v>332</v>
      </c>
      <c r="F371" s="84" t="s">
        <v>174</v>
      </c>
      <c r="G371" s="135">
        <f>G372+G373</f>
        <v>3.5999999999999996</v>
      </c>
      <c r="H371" s="166"/>
    </row>
    <row r="372" spans="1:13" x14ac:dyDescent="0.2">
      <c r="A372" s="70" t="s">
        <v>236</v>
      </c>
      <c r="B372" s="87" t="s">
        <v>321</v>
      </c>
      <c r="C372" s="84" t="s">
        <v>122</v>
      </c>
      <c r="D372" s="87" t="s">
        <v>222</v>
      </c>
      <c r="E372" s="84" t="s">
        <v>332</v>
      </c>
      <c r="F372" s="84" t="s">
        <v>258</v>
      </c>
      <c r="G372" s="135">
        <v>0.8</v>
      </c>
      <c r="H372" s="166"/>
    </row>
    <row r="373" spans="1:13" x14ac:dyDescent="0.2">
      <c r="A373" s="70" t="s">
        <v>564</v>
      </c>
      <c r="B373" s="87" t="s">
        <v>321</v>
      </c>
      <c r="C373" s="84" t="s">
        <v>122</v>
      </c>
      <c r="D373" s="87" t="s">
        <v>222</v>
      </c>
      <c r="E373" s="84" t="s">
        <v>332</v>
      </c>
      <c r="F373" s="84">
        <v>853</v>
      </c>
      <c r="G373" s="135">
        <v>2.8</v>
      </c>
      <c r="H373" s="166"/>
    </row>
    <row r="374" spans="1:13" x14ac:dyDescent="0.2">
      <c r="A374" s="221" t="s">
        <v>333</v>
      </c>
      <c r="B374" s="87" t="s">
        <v>321</v>
      </c>
      <c r="C374" s="91" t="s">
        <v>122</v>
      </c>
      <c r="D374" s="120" t="s">
        <v>334</v>
      </c>
      <c r="E374" s="91"/>
      <c r="F374" s="91"/>
      <c r="G374" s="136">
        <f>G375</f>
        <v>6</v>
      </c>
      <c r="H374" s="166"/>
    </row>
    <row r="375" spans="1:13" x14ac:dyDescent="0.2">
      <c r="A375" s="83" t="s">
        <v>155</v>
      </c>
      <c r="B375" s="87" t="s">
        <v>321</v>
      </c>
      <c r="C375" s="87" t="s">
        <v>122</v>
      </c>
      <c r="D375" s="87" t="s">
        <v>334</v>
      </c>
      <c r="E375" s="120" t="s">
        <v>335</v>
      </c>
      <c r="F375" s="91"/>
      <c r="G375" s="136">
        <f>G376</f>
        <v>6</v>
      </c>
      <c r="H375" s="166"/>
    </row>
    <row r="376" spans="1:13" ht="22.5" x14ac:dyDescent="0.2">
      <c r="A376" s="310" t="s">
        <v>76</v>
      </c>
      <c r="B376" s="311" t="s">
        <v>321</v>
      </c>
      <c r="C376" s="230" t="s">
        <v>122</v>
      </c>
      <c r="D376" s="311" t="s">
        <v>334</v>
      </c>
      <c r="E376" s="230" t="s">
        <v>336</v>
      </c>
      <c r="F376" s="230"/>
      <c r="G376" s="309">
        <f>G377</f>
        <v>6</v>
      </c>
      <c r="H376" s="166"/>
    </row>
    <row r="377" spans="1:13" x14ac:dyDescent="0.2">
      <c r="A377" s="83" t="s">
        <v>337</v>
      </c>
      <c r="B377" s="87" t="s">
        <v>321</v>
      </c>
      <c r="C377" s="84" t="s">
        <v>122</v>
      </c>
      <c r="D377" s="87" t="s">
        <v>334</v>
      </c>
      <c r="E377" s="84" t="s">
        <v>336</v>
      </c>
      <c r="F377" s="84">
        <v>500</v>
      </c>
      <c r="G377" s="135">
        <f>G378</f>
        <v>6</v>
      </c>
      <c r="H377" s="166"/>
    </row>
    <row r="378" spans="1:13" x14ac:dyDescent="0.2">
      <c r="A378" s="83" t="s">
        <v>338</v>
      </c>
      <c r="B378" s="87" t="s">
        <v>321</v>
      </c>
      <c r="C378" s="84" t="s">
        <v>122</v>
      </c>
      <c r="D378" s="87" t="s">
        <v>334</v>
      </c>
      <c r="E378" s="84" t="s">
        <v>336</v>
      </c>
      <c r="F378" s="84">
        <v>530</v>
      </c>
      <c r="G378" s="135">
        <v>6</v>
      </c>
      <c r="H378" s="166"/>
    </row>
    <row r="379" spans="1:13" x14ac:dyDescent="0.2">
      <c r="A379" s="98" t="s">
        <v>339</v>
      </c>
      <c r="B379" s="99" t="s">
        <v>321</v>
      </c>
      <c r="C379" s="99" t="s">
        <v>254</v>
      </c>
      <c r="D379" s="99"/>
      <c r="E379" s="97"/>
      <c r="F379" s="97"/>
      <c r="G379" s="133">
        <f>G380</f>
        <v>563.20000000000005</v>
      </c>
      <c r="H379" s="170"/>
    </row>
    <row r="380" spans="1:13" s="74" customFormat="1" x14ac:dyDescent="0.2">
      <c r="A380" s="98" t="s">
        <v>340</v>
      </c>
      <c r="B380" s="99" t="s">
        <v>321</v>
      </c>
      <c r="C380" s="99" t="s">
        <v>254</v>
      </c>
      <c r="D380" s="99" t="s">
        <v>188</v>
      </c>
      <c r="E380" s="99"/>
      <c r="F380" s="99"/>
      <c r="G380" s="133">
        <f>G381</f>
        <v>563.20000000000005</v>
      </c>
      <c r="H380" s="166"/>
      <c r="I380" s="150"/>
      <c r="J380" s="150"/>
      <c r="K380" s="150"/>
      <c r="L380" s="150"/>
      <c r="M380" s="150"/>
    </row>
    <row r="381" spans="1:13" s="74" customFormat="1" x14ac:dyDescent="0.2">
      <c r="A381" s="83" t="s">
        <v>155</v>
      </c>
      <c r="B381" s="87" t="s">
        <v>321</v>
      </c>
      <c r="C381" s="87" t="s">
        <v>254</v>
      </c>
      <c r="D381" s="87" t="s">
        <v>188</v>
      </c>
      <c r="E381" s="120" t="s">
        <v>335</v>
      </c>
      <c r="F381" s="84"/>
      <c r="G381" s="135">
        <f>G382</f>
        <v>563.20000000000005</v>
      </c>
      <c r="H381" s="166"/>
      <c r="I381" s="150"/>
      <c r="J381" s="150"/>
      <c r="K381" s="150"/>
      <c r="L381" s="150"/>
      <c r="M381" s="150"/>
    </row>
    <row r="382" spans="1:13" s="59" customFormat="1" ht="22.5" x14ac:dyDescent="0.2">
      <c r="A382" s="310" t="s">
        <v>72</v>
      </c>
      <c r="B382" s="311" t="s">
        <v>321</v>
      </c>
      <c r="C382" s="311" t="s">
        <v>254</v>
      </c>
      <c r="D382" s="311" t="s">
        <v>188</v>
      </c>
      <c r="E382" s="311" t="s">
        <v>341</v>
      </c>
      <c r="F382" s="230"/>
      <c r="G382" s="309">
        <f>G383</f>
        <v>563.20000000000005</v>
      </c>
      <c r="H382" s="166"/>
      <c r="I382" s="89"/>
      <c r="J382" s="89"/>
      <c r="K382" s="89"/>
      <c r="L382" s="89"/>
      <c r="M382" s="89"/>
    </row>
    <row r="383" spans="1:13" s="59" customFormat="1" ht="11.25" x14ac:dyDescent="0.2">
      <c r="A383" s="83" t="s">
        <v>337</v>
      </c>
      <c r="B383" s="87" t="s">
        <v>321</v>
      </c>
      <c r="C383" s="87" t="s">
        <v>254</v>
      </c>
      <c r="D383" s="87" t="s">
        <v>188</v>
      </c>
      <c r="E383" s="87" t="s">
        <v>341</v>
      </c>
      <c r="F383" s="87" t="s">
        <v>342</v>
      </c>
      <c r="G383" s="135">
        <f>G384</f>
        <v>563.20000000000005</v>
      </c>
      <c r="H383" s="166"/>
      <c r="I383" s="89"/>
      <c r="J383" s="89"/>
      <c r="K383" s="89"/>
      <c r="L383" s="89"/>
      <c r="M383" s="89"/>
    </row>
    <row r="384" spans="1:13" s="59" customFormat="1" ht="11.25" x14ac:dyDescent="0.2">
      <c r="A384" s="83" t="s">
        <v>338</v>
      </c>
      <c r="B384" s="87" t="s">
        <v>321</v>
      </c>
      <c r="C384" s="87" t="s">
        <v>254</v>
      </c>
      <c r="D384" s="87" t="s">
        <v>188</v>
      </c>
      <c r="E384" s="87" t="s">
        <v>341</v>
      </c>
      <c r="F384" s="87" t="s">
        <v>343</v>
      </c>
      <c r="G384" s="135">
        <v>563.20000000000005</v>
      </c>
      <c r="H384" s="166"/>
      <c r="I384" s="89"/>
      <c r="J384" s="89"/>
      <c r="K384" s="89"/>
      <c r="L384" s="89"/>
      <c r="M384" s="89"/>
    </row>
    <row r="385" spans="1:13" ht="21" x14ac:dyDescent="0.2">
      <c r="A385" s="98" t="s">
        <v>344</v>
      </c>
      <c r="B385" s="99" t="s">
        <v>321</v>
      </c>
      <c r="C385" s="97">
        <v>13</v>
      </c>
      <c r="D385" s="99"/>
      <c r="E385" s="97"/>
      <c r="F385" s="97"/>
      <c r="G385" s="145">
        <f t="shared" ref="G385:G390" si="2">G386</f>
        <v>20</v>
      </c>
      <c r="H385" s="166"/>
    </row>
    <row r="386" spans="1:13" x14ac:dyDescent="0.2">
      <c r="A386" s="98" t="s">
        <v>345</v>
      </c>
      <c r="B386" s="99" t="s">
        <v>321</v>
      </c>
      <c r="C386" s="97">
        <v>13</v>
      </c>
      <c r="D386" s="99" t="s">
        <v>122</v>
      </c>
      <c r="E386" s="97"/>
      <c r="F386" s="97"/>
      <c r="G386" s="145">
        <f t="shared" si="2"/>
        <v>20</v>
      </c>
      <c r="H386" s="166"/>
    </row>
    <row r="387" spans="1:13" ht="22.5" x14ac:dyDescent="0.2">
      <c r="A387" s="83" t="s">
        <v>324</v>
      </c>
      <c r="B387" s="87" t="s">
        <v>321</v>
      </c>
      <c r="C387" s="84">
        <v>13</v>
      </c>
      <c r="D387" s="87" t="s">
        <v>122</v>
      </c>
      <c r="E387" s="84" t="s">
        <v>325</v>
      </c>
      <c r="F387" s="84"/>
      <c r="G387" s="144">
        <f t="shared" si="2"/>
        <v>20</v>
      </c>
      <c r="H387" s="166"/>
    </row>
    <row r="388" spans="1:13" s="59" customFormat="1" ht="11.25" x14ac:dyDescent="0.2">
      <c r="A388" s="83" t="s">
        <v>346</v>
      </c>
      <c r="B388" s="87" t="s">
        <v>321</v>
      </c>
      <c r="C388" s="84">
        <v>13</v>
      </c>
      <c r="D388" s="87" t="s">
        <v>122</v>
      </c>
      <c r="E388" s="84" t="s">
        <v>347</v>
      </c>
      <c r="F388" s="84"/>
      <c r="G388" s="144">
        <f t="shared" si="2"/>
        <v>20</v>
      </c>
      <c r="H388" s="166"/>
      <c r="I388" s="89"/>
      <c r="J388" s="89"/>
      <c r="K388" s="89"/>
      <c r="L388" s="89"/>
      <c r="M388" s="89"/>
    </row>
    <row r="389" spans="1:13" ht="45" x14ac:dyDescent="0.2">
      <c r="A389" s="83" t="s">
        <v>348</v>
      </c>
      <c r="B389" s="87" t="s">
        <v>321</v>
      </c>
      <c r="C389" s="84">
        <v>13</v>
      </c>
      <c r="D389" s="87" t="s">
        <v>122</v>
      </c>
      <c r="E389" s="84" t="s">
        <v>349</v>
      </c>
      <c r="F389" s="84"/>
      <c r="G389" s="144">
        <f t="shared" si="2"/>
        <v>20</v>
      </c>
      <c r="H389" s="175"/>
    </row>
    <row r="390" spans="1:13" x14ac:dyDescent="0.2">
      <c r="A390" s="83" t="s">
        <v>652</v>
      </c>
      <c r="B390" s="87" t="s">
        <v>321</v>
      </c>
      <c r="C390" s="84">
        <v>13</v>
      </c>
      <c r="D390" s="87" t="s">
        <v>122</v>
      </c>
      <c r="E390" s="84" t="s">
        <v>349</v>
      </c>
      <c r="F390" s="84">
        <v>700</v>
      </c>
      <c r="G390" s="144">
        <f t="shared" si="2"/>
        <v>20</v>
      </c>
      <c r="H390" s="176"/>
    </row>
    <row r="391" spans="1:13" s="59" customFormat="1" ht="11.25" x14ac:dyDescent="0.2">
      <c r="A391" s="83" t="s">
        <v>351</v>
      </c>
      <c r="B391" s="87" t="s">
        <v>321</v>
      </c>
      <c r="C391" s="84">
        <v>13</v>
      </c>
      <c r="D391" s="87" t="s">
        <v>122</v>
      </c>
      <c r="E391" s="84" t="s">
        <v>349</v>
      </c>
      <c r="F391" s="84">
        <v>730</v>
      </c>
      <c r="G391" s="144">
        <v>20</v>
      </c>
      <c r="H391" s="176"/>
      <c r="I391" s="89"/>
      <c r="J391" s="89"/>
      <c r="K391" s="89"/>
      <c r="L391" s="89"/>
      <c r="M391" s="89"/>
    </row>
    <row r="392" spans="1:13" s="59" customFormat="1" ht="21" x14ac:dyDescent="0.2">
      <c r="A392" s="116" t="s">
        <v>352</v>
      </c>
      <c r="B392" s="99" t="s">
        <v>321</v>
      </c>
      <c r="C392" s="97" t="s">
        <v>353</v>
      </c>
      <c r="D392" s="99" t="s">
        <v>182</v>
      </c>
      <c r="E392" s="97" t="s">
        <v>183</v>
      </c>
      <c r="F392" s="97" t="s">
        <v>184</v>
      </c>
      <c r="G392" s="133">
        <f>G393+G403+G399</f>
        <v>13921.3</v>
      </c>
      <c r="H392" s="176"/>
      <c r="I392" s="89"/>
      <c r="J392" s="89"/>
      <c r="K392" s="89"/>
      <c r="L392" s="89"/>
      <c r="M392" s="89"/>
    </row>
    <row r="393" spans="1:13" s="59" customFormat="1" ht="21" x14ac:dyDescent="0.2">
      <c r="A393" s="98" t="s">
        <v>354</v>
      </c>
      <c r="B393" s="99" t="s">
        <v>321</v>
      </c>
      <c r="C393" s="97" t="s">
        <v>353</v>
      </c>
      <c r="D393" s="99" t="s">
        <v>122</v>
      </c>
      <c r="E393" s="97" t="s">
        <v>183</v>
      </c>
      <c r="F393" s="97" t="s">
        <v>184</v>
      </c>
      <c r="G393" s="133">
        <f>G394</f>
        <v>13152.4</v>
      </c>
      <c r="H393" s="176"/>
      <c r="I393" s="89"/>
      <c r="J393" s="89"/>
      <c r="K393" s="89"/>
      <c r="L393" s="89"/>
      <c r="M393" s="89"/>
    </row>
    <row r="394" spans="1:13" s="59" customFormat="1" ht="11.25" x14ac:dyDescent="0.2">
      <c r="A394" s="83" t="s">
        <v>355</v>
      </c>
      <c r="B394" s="87" t="s">
        <v>321</v>
      </c>
      <c r="C394" s="84" t="s">
        <v>353</v>
      </c>
      <c r="D394" s="87" t="s">
        <v>122</v>
      </c>
      <c r="E394" s="84" t="s">
        <v>356</v>
      </c>
      <c r="F394" s="84" t="s">
        <v>184</v>
      </c>
      <c r="G394" s="135">
        <f>G395</f>
        <v>13152.4</v>
      </c>
      <c r="H394" s="176"/>
      <c r="I394" s="89"/>
      <c r="J394" s="89"/>
      <c r="K394" s="89"/>
      <c r="L394" s="89"/>
      <c r="M394" s="89"/>
    </row>
    <row r="395" spans="1:13" s="59" customFormat="1" ht="47.25" customHeight="1" x14ac:dyDescent="0.2">
      <c r="A395" s="83" t="s">
        <v>357</v>
      </c>
      <c r="B395" s="87" t="s">
        <v>321</v>
      </c>
      <c r="C395" s="84" t="s">
        <v>353</v>
      </c>
      <c r="D395" s="87" t="s">
        <v>122</v>
      </c>
      <c r="E395" s="84" t="s">
        <v>358</v>
      </c>
      <c r="F395" s="84" t="s">
        <v>184</v>
      </c>
      <c r="G395" s="135">
        <f>G396</f>
        <v>13152.4</v>
      </c>
      <c r="H395" s="176"/>
      <c r="I395" s="89"/>
      <c r="J395" s="89"/>
      <c r="K395" s="89"/>
      <c r="L395" s="89"/>
      <c r="M395" s="89"/>
    </row>
    <row r="396" spans="1:13" s="59" customFormat="1" ht="11.25" x14ac:dyDescent="0.2">
      <c r="A396" s="83" t="s">
        <v>337</v>
      </c>
      <c r="B396" s="87" t="s">
        <v>321</v>
      </c>
      <c r="C396" s="84" t="s">
        <v>353</v>
      </c>
      <c r="D396" s="87" t="s">
        <v>122</v>
      </c>
      <c r="E396" s="84" t="s">
        <v>358</v>
      </c>
      <c r="F396" s="84" t="s">
        <v>342</v>
      </c>
      <c r="G396" s="135">
        <f>G397</f>
        <v>13152.4</v>
      </c>
      <c r="H396" s="176"/>
      <c r="I396" s="89"/>
      <c r="J396" s="89"/>
      <c r="K396" s="89"/>
      <c r="L396" s="89"/>
      <c r="M396" s="89"/>
    </row>
    <row r="397" spans="1:13" s="59" customFormat="1" ht="11.25" x14ac:dyDescent="0.2">
      <c r="A397" s="83" t="s">
        <v>359</v>
      </c>
      <c r="B397" s="87" t="s">
        <v>321</v>
      </c>
      <c r="C397" s="84" t="s">
        <v>353</v>
      </c>
      <c r="D397" s="87" t="s">
        <v>122</v>
      </c>
      <c r="E397" s="84" t="s">
        <v>358</v>
      </c>
      <c r="F397" s="84" t="s">
        <v>360</v>
      </c>
      <c r="G397" s="135">
        <f>G398</f>
        <v>13152.4</v>
      </c>
      <c r="H397" s="166"/>
      <c r="I397" s="89"/>
      <c r="J397" s="89"/>
      <c r="K397" s="89"/>
      <c r="L397" s="89"/>
      <c r="M397" s="89"/>
    </row>
    <row r="398" spans="1:13" ht="28.5" customHeight="1" x14ac:dyDescent="0.2">
      <c r="A398" s="115" t="s">
        <v>361</v>
      </c>
      <c r="B398" s="87" t="s">
        <v>321</v>
      </c>
      <c r="C398" s="84" t="s">
        <v>353</v>
      </c>
      <c r="D398" s="87" t="s">
        <v>122</v>
      </c>
      <c r="E398" s="84" t="s">
        <v>358</v>
      </c>
      <c r="F398" s="84" t="s">
        <v>362</v>
      </c>
      <c r="G398" s="135">
        <v>13152.4</v>
      </c>
      <c r="H398" s="166"/>
    </row>
    <row r="399" spans="1:13" x14ac:dyDescent="0.2">
      <c r="A399" s="98" t="s">
        <v>363</v>
      </c>
      <c r="B399" s="99" t="s">
        <v>321</v>
      </c>
      <c r="C399" s="97" t="s">
        <v>353</v>
      </c>
      <c r="D399" s="99" t="s">
        <v>254</v>
      </c>
      <c r="E399" s="97"/>
      <c r="F399" s="97"/>
      <c r="G399" s="133">
        <f>G400</f>
        <v>700</v>
      </c>
      <c r="H399" s="166"/>
    </row>
    <row r="400" spans="1:13" x14ac:dyDescent="0.2">
      <c r="A400" s="83" t="s">
        <v>337</v>
      </c>
      <c r="B400" s="87" t="s">
        <v>321</v>
      </c>
      <c r="C400" s="84" t="s">
        <v>353</v>
      </c>
      <c r="D400" s="87" t="s">
        <v>254</v>
      </c>
      <c r="E400" s="84" t="s">
        <v>356</v>
      </c>
      <c r="F400" s="84" t="s">
        <v>342</v>
      </c>
      <c r="G400" s="135">
        <f>G401</f>
        <v>700</v>
      </c>
      <c r="H400" s="166"/>
    </row>
    <row r="401" spans="1:9" x14ac:dyDescent="0.2">
      <c r="A401" s="83" t="s">
        <v>359</v>
      </c>
      <c r="B401" s="87" t="s">
        <v>321</v>
      </c>
      <c r="C401" s="84" t="s">
        <v>353</v>
      </c>
      <c r="D401" s="87" t="s">
        <v>254</v>
      </c>
      <c r="E401" s="84" t="s">
        <v>364</v>
      </c>
      <c r="F401" s="84" t="s">
        <v>360</v>
      </c>
      <c r="G401" s="135">
        <f>G402</f>
        <v>700</v>
      </c>
      <c r="H401" s="166"/>
    </row>
    <row r="402" spans="1:9" x14ac:dyDescent="0.2">
      <c r="A402" s="115" t="s">
        <v>363</v>
      </c>
      <c r="B402" s="87" t="s">
        <v>321</v>
      </c>
      <c r="C402" s="84" t="s">
        <v>353</v>
      </c>
      <c r="D402" s="87" t="s">
        <v>254</v>
      </c>
      <c r="E402" s="84" t="s">
        <v>364</v>
      </c>
      <c r="F402" s="84">
        <v>512</v>
      </c>
      <c r="G402" s="135">
        <v>700</v>
      </c>
      <c r="H402" s="166"/>
    </row>
    <row r="403" spans="1:9" x14ac:dyDescent="0.2">
      <c r="A403" s="98" t="s">
        <v>365</v>
      </c>
      <c r="B403" s="99" t="s">
        <v>321</v>
      </c>
      <c r="C403" s="97">
        <v>14</v>
      </c>
      <c r="D403" s="99" t="s">
        <v>188</v>
      </c>
      <c r="E403" s="97"/>
      <c r="F403" s="97"/>
      <c r="G403" s="133">
        <f t="shared" ref="G403:G408" si="3">+G404</f>
        <v>68.900000000000006</v>
      </c>
      <c r="H403" s="166"/>
    </row>
    <row r="404" spans="1:9" x14ac:dyDescent="0.2">
      <c r="A404" s="83" t="s">
        <v>337</v>
      </c>
      <c r="B404" s="87" t="s">
        <v>321</v>
      </c>
      <c r="C404" s="84" t="s">
        <v>353</v>
      </c>
      <c r="D404" s="84" t="s">
        <v>188</v>
      </c>
      <c r="E404" s="84" t="s">
        <v>356</v>
      </c>
      <c r="F404" s="84" t="s">
        <v>184</v>
      </c>
      <c r="G404" s="135">
        <f t="shared" si="3"/>
        <v>68.900000000000006</v>
      </c>
      <c r="H404" s="166"/>
    </row>
    <row r="405" spans="1:9" ht="33.75" x14ac:dyDescent="0.2">
      <c r="A405" s="83" t="s">
        <v>366</v>
      </c>
      <c r="B405" s="87" t="s">
        <v>321</v>
      </c>
      <c r="C405" s="84" t="s">
        <v>353</v>
      </c>
      <c r="D405" s="84" t="s">
        <v>188</v>
      </c>
      <c r="E405" s="84" t="s">
        <v>367</v>
      </c>
      <c r="F405" s="84" t="s">
        <v>184</v>
      </c>
      <c r="G405" s="135">
        <f t="shared" si="3"/>
        <v>68.900000000000006</v>
      </c>
      <c r="H405" s="166"/>
    </row>
    <row r="406" spans="1:9" ht="56.25" x14ac:dyDescent="0.2">
      <c r="A406" s="83" t="s">
        <v>368</v>
      </c>
      <c r="B406" s="87" t="s">
        <v>321</v>
      </c>
      <c r="C406" s="84" t="s">
        <v>353</v>
      </c>
      <c r="D406" s="84" t="s">
        <v>188</v>
      </c>
      <c r="E406" s="84" t="s">
        <v>367</v>
      </c>
      <c r="F406" s="84" t="s">
        <v>184</v>
      </c>
      <c r="G406" s="135">
        <f t="shared" si="3"/>
        <v>68.900000000000006</v>
      </c>
      <c r="H406" s="166"/>
    </row>
    <row r="407" spans="1:9" x14ac:dyDescent="0.2">
      <c r="A407" s="83" t="s">
        <v>337</v>
      </c>
      <c r="B407" s="87" t="s">
        <v>321</v>
      </c>
      <c r="C407" s="84" t="s">
        <v>353</v>
      </c>
      <c r="D407" s="84" t="s">
        <v>188</v>
      </c>
      <c r="E407" s="84" t="s">
        <v>367</v>
      </c>
      <c r="F407" s="84" t="s">
        <v>342</v>
      </c>
      <c r="G407" s="135">
        <f t="shared" si="3"/>
        <v>68.900000000000006</v>
      </c>
      <c r="H407" s="166"/>
    </row>
    <row r="408" spans="1:9" x14ac:dyDescent="0.2">
      <c r="A408" s="83" t="s">
        <v>369</v>
      </c>
      <c r="B408" s="87" t="s">
        <v>321</v>
      </c>
      <c r="C408" s="84" t="s">
        <v>353</v>
      </c>
      <c r="D408" s="84" t="s">
        <v>188</v>
      </c>
      <c r="E408" s="84" t="s">
        <v>367</v>
      </c>
      <c r="F408" s="84" t="s">
        <v>370</v>
      </c>
      <c r="G408" s="135">
        <f t="shared" si="3"/>
        <v>68.900000000000006</v>
      </c>
      <c r="H408" s="166"/>
    </row>
    <row r="409" spans="1:9" ht="22.5" x14ac:dyDescent="0.2">
      <c r="A409" s="115" t="s">
        <v>371</v>
      </c>
      <c r="B409" s="87" t="s">
        <v>321</v>
      </c>
      <c r="C409" s="84" t="s">
        <v>353</v>
      </c>
      <c r="D409" s="84" t="s">
        <v>188</v>
      </c>
      <c r="E409" s="84" t="s">
        <v>367</v>
      </c>
      <c r="F409" s="84" t="s">
        <v>372</v>
      </c>
      <c r="G409" s="135">
        <v>68.900000000000006</v>
      </c>
      <c r="H409" s="166"/>
    </row>
    <row r="410" spans="1:9" ht="21" x14ac:dyDescent="0.2">
      <c r="A410" s="179" t="s">
        <v>373</v>
      </c>
      <c r="B410" s="110" t="s">
        <v>374</v>
      </c>
      <c r="C410" s="109"/>
      <c r="D410" s="110"/>
      <c r="E410" s="109"/>
      <c r="F410" s="109"/>
      <c r="G410" s="180">
        <f>G411+G467+G478+G504+G545+G560+G578+G586+G603+G610</f>
        <v>28628.100000000006</v>
      </c>
      <c r="H410" s="231"/>
      <c r="I410" s="232"/>
    </row>
    <row r="411" spans="1:9" x14ac:dyDescent="0.2">
      <c r="A411" s="98" t="s">
        <v>322</v>
      </c>
      <c r="B411" s="99" t="s">
        <v>374</v>
      </c>
      <c r="C411" s="97" t="s">
        <v>122</v>
      </c>
      <c r="D411" s="99" t="s">
        <v>182</v>
      </c>
      <c r="E411" s="97" t="s">
        <v>183</v>
      </c>
      <c r="F411" s="97" t="s">
        <v>184</v>
      </c>
      <c r="G411" s="133">
        <f>G412+G435+G440+G445</f>
        <v>19088.600000000002</v>
      </c>
      <c r="H411" s="171"/>
      <c r="I411" s="220"/>
    </row>
    <row r="412" spans="1:9" ht="19.5" customHeight="1" x14ac:dyDescent="0.2">
      <c r="A412" s="98" t="s">
        <v>375</v>
      </c>
      <c r="B412" s="99" t="s">
        <v>374</v>
      </c>
      <c r="C412" s="97" t="s">
        <v>122</v>
      </c>
      <c r="D412" s="99" t="s">
        <v>160</v>
      </c>
      <c r="E412" s="97"/>
      <c r="F412" s="97"/>
      <c r="G412" s="133">
        <f>G418+G413</f>
        <v>18166.7</v>
      </c>
      <c r="H412" s="166"/>
      <c r="I412" s="148"/>
    </row>
    <row r="413" spans="1:9" x14ac:dyDescent="0.2">
      <c r="A413" s="114" t="s">
        <v>376</v>
      </c>
      <c r="B413" s="105" t="s">
        <v>374</v>
      </c>
      <c r="C413" s="84" t="s">
        <v>122</v>
      </c>
      <c r="D413" s="87" t="s">
        <v>160</v>
      </c>
      <c r="E413" s="84" t="s">
        <v>377</v>
      </c>
      <c r="F413" s="84" t="s">
        <v>184</v>
      </c>
      <c r="G413" s="135">
        <f>G414</f>
        <v>887.8</v>
      </c>
      <c r="H413" s="166"/>
    </row>
    <row r="414" spans="1:9" ht="33.75" x14ac:dyDescent="0.2">
      <c r="A414" s="83" t="s">
        <v>139</v>
      </c>
      <c r="B414" s="87" t="s">
        <v>374</v>
      </c>
      <c r="C414" s="84" t="s">
        <v>122</v>
      </c>
      <c r="D414" s="87" t="s">
        <v>160</v>
      </c>
      <c r="E414" s="84" t="s">
        <v>378</v>
      </c>
      <c r="F414" s="84" t="s">
        <v>140</v>
      </c>
      <c r="G414" s="135">
        <f>SUM(G415)</f>
        <v>887.8</v>
      </c>
      <c r="H414" s="166"/>
    </row>
    <row r="415" spans="1:9" x14ac:dyDescent="0.2">
      <c r="A415" s="83" t="s">
        <v>168</v>
      </c>
      <c r="B415" s="105" t="s">
        <v>374</v>
      </c>
      <c r="C415" s="84" t="s">
        <v>122</v>
      </c>
      <c r="D415" s="87" t="s">
        <v>160</v>
      </c>
      <c r="E415" s="84" t="s">
        <v>378</v>
      </c>
      <c r="F415" s="84" t="s">
        <v>232</v>
      </c>
      <c r="G415" s="135">
        <f>SUM(G416:G417)</f>
        <v>887.8</v>
      </c>
      <c r="H415" s="174"/>
    </row>
    <row r="416" spans="1:9" x14ac:dyDescent="0.2">
      <c r="A416" s="114" t="s">
        <v>169</v>
      </c>
      <c r="B416" s="87" t="s">
        <v>374</v>
      </c>
      <c r="C416" s="84" t="s">
        <v>122</v>
      </c>
      <c r="D416" s="87" t="s">
        <v>160</v>
      </c>
      <c r="E416" s="84" t="s">
        <v>378</v>
      </c>
      <c r="F416" s="84" t="s">
        <v>233</v>
      </c>
      <c r="G416" s="135">
        <v>681.9</v>
      </c>
      <c r="H416" s="166"/>
      <c r="I416" s="156"/>
    </row>
    <row r="417" spans="1:9" ht="33.75" x14ac:dyDescent="0.2">
      <c r="A417" s="114" t="s">
        <v>170</v>
      </c>
      <c r="B417" s="87" t="s">
        <v>374</v>
      </c>
      <c r="C417" s="84" t="s">
        <v>122</v>
      </c>
      <c r="D417" s="87" t="s">
        <v>160</v>
      </c>
      <c r="E417" s="84" t="s">
        <v>378</v>
      </c>
      <c r="F417" s="84">
        <v>129</v>
      </c>
      <c r="G417" s="135">
        <v>205.9</v>
      </c>
      <c r="H417" s="166"/>
    </row>
    <row r="418" spans="1:9" ht="22.5" x14ac:dyDescent="0.2">
      <c r="A418" s="83" t="s">
        <v>379</v>
      </c>
      <c r="B418" s="87" t="s">
        <v>374</v>
      </c>
      <c r="C418" s="84" t="s">
        <v>122</v>
      </c>
      <c r="D418" s="87" t="s">
        <v>160</v>
      </c>
      <c r="E418" s="84" t="s">
        <v>380</v>
      </c>
      <c r="F418" s="84" t="s">
        <v>184</v>
      </c>
      <c r="G418" s="135">
        <f>G419+G423+G426+G430</f>
        <v>17278.900000000001</v>
      </c>
      <c r="H418" s="166"/>
      <c r="I418" s="148"/>
    </row>
    <row r="419" spans="1:9" ht="33.75" x14ac:dyDescent="0.2">
      <c r="A419" s="83" t="s">
        <v>139</v>
      </c>
      <c r="B419" s="87" t="s">
        <v>374</v>
      </c>
      <c r="C419" s="84" t="s">
        <v>122</v>
      </c>
      <c r="D419" s="87" t="s">
        <v>160</v>
      </c>
      <c r="E419" s="84" t="s">
        <v>381</v>
      </c>
      <c r="F419" s="84" t="s">
        <v>140</v>
      </c>
      <c r="G419" s="135">
        <f>G420</f>
        <v>13769.2</v>
      </c>
      <c r="H419" s="166"/>
    </row>
    <row r="420" spans="1:9" x14ac:dyDescent="0.2">
      <c r="A420" s="83" t="s">
        <v>168</v>
      </c>
      <c r="B420" s="105" t="s">
        <v>374</v>
      </c>
      <c r="C420" s="84" t="s">
        <v>122</v>
      </c>
      <c r="D420" s="87" t="s">
        <v>160</v>
      </c>
      <c r="E420" s="84" t="s">
        <v>381</v>
      </c>
      <c r="F420" s="84" t="s">
        <v>232</v>
      </c>
      <c r="G420" s="135">
        <f>G421+G422</f>
        <v>13769.2</v>
      </c>
      <c r="H420" s="166"/>
    </row>
    <row r="421" spans="1:9" ht="14.25" customHeight="1" x14ac:dyDescent="0.2">
      <c r="A421" s="114" t="s">
        <v>169</v>
      </c>
      <c r="B421" s="87" t="s">
        <v>374</v>
      </c>
      <c r="C421" s="84" t="s">
        <v>122</v>
      </c>
      <c r="D421" s="87" t="s">
        <v>160</v>
      </c>
      <c r="E421" s="84" t="s">
        <v>381</v>
      </c>
      <c r="F421" s="84" t="s">
        <v>233</v>
      </c>
      <c r="G421" s="135">
        <v>10575.6</v>
      </c>
      <c r="H421" s="166"/>
    </row>
    <row r="422" spans="1:9" ht="33.75" x14ac:dyDescent="0.2">
      <c r="A422" s="114" t="s">
        <v>170</v>
      </c>
      <c r="B422" s="87" t="s">
        <v>374</v>
      </c>
      <c r="C422" s="84" t="s">
        <v>122</v>
      </c>
      <c r="D422" s="87" t="s">
        <v>160</v>
      </c>
      <c r="E422" s="84" t="s">
        <v>381</v>
      </c>
      <c r="F422" s="84">
        <v>129</v>
      </c>
      <c r="G422" s="135">
        <v>3193.6</v>
      </c>
      <c r="H422" s="166"/>
    </row>
    <row r="423" spans="1:9" ht="33.75" x14ac:dyDescent="0.2">
      <c r="A423" s="83" t="s">
        <v>139</v>
      </c>
      <c r="B423" s="87" t="s">
        <v>374</v>
      </c>
      <c r="C423" s="84" t="s">
        <v>122</v>
      </c>
      <c r="D423" s="87" t="s">
        <v>160</v>
      </c>
      <c r="E423" s="84" t="s">
        <v>382</v>
      </c>
      <c r="F423" s="84">
        <v>100</v>
      </c>
      <c r="G423" s="135">
        <f>G424</f>
        <v>209.1</v>
      </c>
      <c r="H423" s="166"/>
    </row>
    <row r="424" spans="1:9" x14ac:dyDescent="0.2">
      <c r="A424" s="83" t="s">
        <v>168</v>
      </c>
      <c r="B424" s="87" t="s">
        <v>374</v>
      </c>
      <c r="C424" s="84" t="s">
        <v>122</v>
      </c>
      <c r="D424" s="87" t="s">
        <v>160</v>
      </c>
      <c r="E424" s="84" t="s">
        <v>382</v>
      </c>
      <c r="F424" s="84">
        <v>120</v>
      </c>
      <c r="G424" s="135">
        <f>G425</f>
        <v>209.1</v>
      </c>
      <c r="H424" s="166"/>
    </row>
    <row r="425" spans="1:9" ht="22.5" x14ac:dyDescent="0.2">
      <c r="A425" s="114" t="s">
        <v>293</v>
      </c>
      <c r="B425" s="87" t="s">
        <v>374</v>
      </c>
      <c r="C425" s="84" t="s">
        <v>122</v>
      </c>
      <c r="D425" s="87" t="s">
        <v>160</v>
      </c>
      <c r="E425" s="84" t="s">
        <v>382</v>
      </c>
      <c r="F425" s="84">
        <v>122</v>
      </c>
      <c r="G425" s="135">
        <v>209.1</v>
      </c>
      <c r="H425" s="166"/>
    </row>
    <row r="426" spans="1:9" x14ac:dyDescent="0.2">
      <c r="A426" s="83" t="s">
        <v>650</v>
      </c>
      <c r="B426" s="87" t="s">
        <v>374</v>
      </c>
      <c r="C426" s="84" t="s">
        <v>122</v>
      </c>
      <c r="D426" s="87" t="s">
        <v>160</v>
      </c>
      <c r="E426" s="84" t="s">
        <v>382</v>
      </c>
      <c r="F426" s="84" t="s">
        <v>150</v>
      </c>
      <c r="G426" s="135">
        <f>G427</f>
        <v>3150.6000000000004</v>
      </c>
      <c r="H426" s="166"/>
      <c r="I426" s="148"/>
    </row>
    <row r="427" spans="1:9" ht="22.5" x14ac:dyDescent="0.2">
      <c r="A427" s="83" t="s">
        <v>151</v>
      </c>
      <c r="B427" s="105" t="s">
        <v>374</v>
      </c>
      <c r="C427" s="84" t="s">
        <v>122</v>
      </c>
      <c r="D427" s="87" t="s">
        <v>160</v>
      </c>
      <c r="E427" s="84" t="s">
        <v>382</v>
      </c>
      <c r="F427" s="84" t="s">
        <v>152</v>
      </c>
      <c r="G427" s="135">
        <f>G429+G428</f>
        <v>3150.6000000000004</v>
      </c>
      <c r="H427" s="166"/>
    </row>
    <row r="428" spans="1:9" ht="22.5" x14ac:dyDescent="0.2">
      <c r="A428" s="115" t="s">
        <v>171</v>
      </c>
      <c r="B428" s="105" t="s">
        <v>374</v>
      </c>
      <c r="C428" s="84" t="s">
        <v>122</v>
      </c>
      <c r="D428" s="87" t="s">
        <v>160</v>
      </c>
      <c r="E428" s="84" t="s">
        <v>382</v>
      </c>
      <c r="F428" s="84">
        <v>242</v>
      </c>
      <c r="G428" s="135">
        <v>302.3</v>
      </c>
      <c r="H428" s="166"/>
    </row>
    <row r="429" spans="1:9" ht="22.5" x14ac:dyDescent="0.2">
      <c r="A429" s="115" t="s">
        <v>153</v>
      </c>
      <c r="B429" s="87" t="s">
        <v>374</v>
      </c>
      <c r="C429" s="84" t="s">
        <v>122</v>
      </c>
      <c r="D429" s="87" t="s">
        <v>160</v>
      </c>
      <c r="E429" s="84" t="s">
        <v>382</v>
      </c>
      <c r="F429" s="84" t="s">
        <v>154</v>
      </c>
      <c r="G429" s="135">
        <f>2048.3+700+100</f>
        <v>2848.3</v>
      </c>
      <c r="H429" s="166"/>
      <c r="I429" s="148"/>
    </row>
    <row r="430" spans="1:9" x14ac:dyDescent="0.2">
      <c r="A430" s="115" t="s">
        <v>172</v>
      </c>
      <c r="B430" s="105" t="s">
        <v>374</v>
      </c>
      <c r="C430" s="84" t="s">
        <v>122</v>
      </c>
      <c r="D430" s="87" t="s">
        <v>160</v>
      </c>
      <c r="E430" s="84" t="s">
        <v>382</v>
      </c>
      <c r="F430" s="84" t="s">
        <v>235</v>
      </c>
      <c r="G430" s="135">
        <f>G431</f>
        <v>150</v>
      </c>
      <c r="H430" s="166"/>
    </row>
    <row r="431" spans="1:9" x14ac:dyDescent="0.2">
      <c r="A431" s="115" t="s">
        <v>173</v>
      </c>
      <c r="B431" s="87" t="s">
        <v>374</v>
      </c>
      <c r="C431" s="84" t="s">
        <v>122</v>
      </c>
      <c r="D431" s="87" t="s">
        <v>160</v>
      </c>
      <c r="E431" s="84" t="s">
        <v>382</v>
      </c>
      <c r="F431" s="84" t="s">
        <v>174</v>
      </c>
      <c r="G431" s="135">
        <f>G432+G433+G434</f>
        <v>150</v>
      </c>
      <c r="H431" s="166"/>
    </row>
    <row r="432" spans="1:9" x14ac:dyDescent="0.2">
      <c r="A432" s="75" t="s">
        <v>175</v>
      </c>
      <c r="B432" s="105" t="s">
        <v>374</v>
      </c>
      <c r="C432" s="84" t="s">
        <v>122</v>
      </c>
      <c r="D432" s="87" t="s">
        <v>160</v>
      </c>
      <c r="E432" s="84" t="s">
        <v>382</v>
      </c>
      <c r="F432" s="84" t="s">
        <v>176</v>
      </c>
      <c r="G432" s="135">
        <v>14.4</v>
      </c>
      <c r="H432" s="166"/>
    </row>
    <row r="433" spans="1:9" x14ac:dyDescent="0.2">
      <c r="A433" s="70" t="s">
        <v>236</v>
      </c>
      <c r="B433" s="105" t="s">
        <v>374</v>
      </c>
      <c r="C433" s="84" t="s">
        <v>122</v>
      </c>
      <c r="D433" s="87" t="s">
        <v>160</v>
      </c>
      <c r="E433" s="84" t="s">
        <v>382</v>
      </c>
      <c r="F433" s="84">
        <v>852</v>
      </c>
      <c r="G433" s="135">
        <v>3</v>
      </c>
      <c r="H433" s="166"/>
    </row>
    <row r="434" spans="1:9" x14ac:dyDescent="0.2">
      <c r="A434" s="70" t="s">
        <v>564</v>
      </c>
      <c r="B434" s="105" t="s">
        <v>374</v>
      </c>
      <c r="C434" s="84" t="s">
        <v>122</v>
      </c>
      <c r="D434" s="87" t="s">
        <v>160</v>
      </c>
      <c r="E434" s="84" t="s">
        <v>382</v>
      </c>
      <c r="F434" s="84">
        <v>853</v>
      </c>
      <c r="G434" s="135">
        <v>132.6</v>
      </c>
      <c r="H434" s="166"/>
    </row>
    <row r="435" spans="1:9" x14ac:dyDescent="0.2">
      <c r="A435" s="61" t="s">
        <v>569</v>
      </c>
      <c r="B435" s="223" t="s">
        <v>374</v>
      </c>
      <c r="C435" s="96" t="s">
        <v>122</v>
      </c>
      <c r="D435" s="94" t="s">
        <v>286</v>
      </c>
      <c r="E435" s="96"/>
      <c r="F435" s="96"/>
      <c r="G435" s="133">
        <f>G436</f>
        <v>204</v>
      </c>
      <c r="H435" s="166"/>
      <c r="I435" s="148"/>
    </row>
    <row r="436" spans="1:9" ht="33.75" x14ac:dyDescent="0.2">
      <c r="A436" s="312" t="s">
        <v>657</v>
      </c>
      <c r="B436" s="313" t="s">
        <v>374</v>
      </c>
      <c r="C436" s="306" t="s">
        <v>122</v>
      </c>
      <c r="D436" s="305" t="s">
        <v>286</v>
      </c>
      <c r="E436" s="306" t="s">
        <v>570</v>
      </c>
      <c r="F436" s="306"/>
      <c r="G436" s="309">
        <f>G437</f>
        <v>204</v>
      </c>
      <c r="H436" s="166"/>
    </row>
    <row r="437" spans="1:9" x14ac:dyDescent="0.2">
      <c r="A437" s="83" t="s">
        <v>650</v>
      </c>
      <c r="B437" s="224" t="s">
        <v>374</v>
      </c>
      <c r="C437" s="68" t="s">
        <v>122</v>
      </c>
      <c r="D437" s="67" t="s">
        <v>286</v>
      </c>
      <c r="E437" s="68" t="s">
        <v>570</v>
      </c>
      <c r="F437" s="68" t="s">
        <v>150</v>
      </c>
      <c r="G437" s="135">
        <f>G438</f>
        <v>204</v>
      </c>
      <c r="H437" s="166"/>
    </row>
    <row r="438" spans="1:9" ht="22.5" x14ac:dyDescent="0.2">
      <c r="A438" s="83" t="s">
        <v>151</v>
      </c>
      <c r="B438" s="225" t="s">
        <v>374</v>
      </c>
      <c r="C438" s="68" t="s">
        <v>122</v>
      </c>
      <c r="D438" s="67" t="s">
        <v>286</v>
      </c>
      <c r="E438" s="68" t="s">
        <v>570</v>
      </c>
      <c r="F438" s="68" t="s">
        <v>152</v>
      </c>
      <c r="G438" s="135">
        <f>G439</f>
        <v>204</v>
      </c>
      <c r="H438" s="166"/>
    </row>
    <row r="439" spans="1:9" ht="22.5" x14ac:dyDescent="0.2">
      <c r="A439" s="115" t="s">
        <v>153</v>
      </c>
      <c r="B439" s="224" t="s">
        <v>374</v>
      </c>
      <c r="C439" s="68" t="s">
        <v>122</v>
      </c>
      <c r="D439" s="67" t="s">
        <v>286</v>
      </c>
      <c r="E439" s="68" t="s">
        <v>570</v>
      </c>
      <c r="F439" s="68" t="s">
        <v>154</v>
      </c>
      <c r="G439" s="135">
        <v>204</v>
      </c>
      <c r="H439" s="166"/>
    </row>
    <row r="440" spans="1:9" x14ac:dyDescent="0.2">
      <c r="A440" s="212" t="s">
        <v>654</v>
      </c>
      <c r="B440" s="99" t="s">
        <v>374</v>
      </c>
      <c r="C440" s="97" t="s">
        <v>122</v>
      </c>
      <c r="D440" s="99" t="s">
        <v>471</v>
      </c>
      <c r="E440" s="84" t="s">
        <v>666</v>
      </c>
      <c r="F440" s="68"/>
      <c r="G440" s="135">
        <f>G441</f>
        <v>200</v>
      </c>
      <c r="H440" s="166"/>
    </row>
    <row r="441" spans="1:9" x14ac:dyDescent="0.2">
      <c r="A441" s="70" t="s">
        <v>667</v>
      </c>
      <c r="B441" s="224" t="s">
        <v>374</v>
      </c>
      <c r="C441" s="68" t="s">
        <v>122</v>
      </c>
      <c r="D441" s="67" t="s">
        <v>471</v>
      </c>
      <c r="E441" s="84" t="s">
        <v>666</v>
      </c>
      <c r="F441" s="68"/>
      <c r="G441" s="135">
        <f>G442</f>
        <v>200</v>
      </c>
      <c r="H441" s="166"/>
    </row>
    <row r="442" spans="1:9" x14ac:dyDescent="0.2">
      <c r="A442" s="83" t="s">
        <v>650</v>
      </c>
      <c r="B442" s="224" t="s">
        <v>374</v>
      </c>
      <c r="C442" s="68" t="s">
        <v>122</v>
      </c>
      <c r="D442" s="67" t="s">
        <v>471</v>
      </c>
      <c r="E442" s="84" t="s">
        <v>666</v>
      </c>
      <c r="F442" s="84">
        <v>800</v>
      </c>
      <c r="G442" s="135">
        <f>G443</f>
        <v>200</v>
      </c>
      <c r="H442" s="166"/>
    </row>
    <row r="443" spans="1:9" ht="22.5" x14ac:dyDescent="0.2">
      <c r="A443" s="83" t="s">
        <v>151</v>
      </c>
      <c r="B443" s="224" t="s">
        <v>374</v>
      </c>
      <c r="C443" s="68" t="s">
        <v>122</v>
      </c>
      <c r="D443" s="67" t="s">
        <v>471</v>
      </c>
      <c r="E443" s="84" t="s">
        <v>666</v>
      </c>
      <c r="F443" s="84">
        <v>800</v>
      </c>
      <c r="G443" s="135">
        <f>G444</f>
        <v>200</v>
      </c>
      <c r="H443" s="166"/>
    </row>
    <row r="444" spans="1:9" ht="22.5" x14ac:dyDescent="0.2">
      <c r="A444" s="115" t="s">
        <v>153</v>
      </c>
      <c r="B444" s="224" t="s">
        <v>374</v>
      </c>
      <c r="C444" s="68" t="s">
        <v>122</v>
      </c>
      <c r="D444" s="67" t="s">
        <v>471</v>
      </c>
      <c r="E444" s="84" t="s">
        <v>666</v>
      </c>
      <c r="F444" s="68">
        <v>870</v>
      </c>
      <c r="G444" s="135">
        <v>200</v>
      </c>
      <c r="H444" s="166"/>
    </row>
    <row r="445" spans="1:9" x14ac:dyDescent="0.2">
      <c r="A445" s="98" t="s">
        <v>333</v>
      </c>
      <c r="B445" s="99" t="s">
        <v>374</v>
      </c>
      <c r="C445" s="97" t="s">
        <v>122</v>
      </c>
      <c r="D445" s="99" t="s">
        <v>334</v>
      </c>
      <c r="E445" s="97"/>
      <c r="F445" s="97"/>
      <c r="G445" s="133">
        <f>G455+G459+G446+G451</f>
        <v>517.9</v>
      </c>
      <c r="H445" s="166"/>
      <c r="I445" s="148"/>
    </row>
    <row r="446" spans="1:9" ht="33.75" x14ac:dyDescent="0.2">
      <c r="A446" s="83" t="s">
        <v>383</v>
      </c>
      <c r="B446" s="87" t="s">
        <v>374</v>
      </c>
      <c r="C446" s="84" t="s">
        <v>122</v>
      </c>
      <c r="D446" s="87" t="s">
        <v>334</v>
      </c>
      <c r="E446" s="84" t="s">
        <v>384</v>
      </c>
      <c r="F446" s="84"/>
      <c r="G446" s="135">
        <f>G447</f>
        <v>40</v>
      </c>
      <c r="H446" s="166"/>
    </row>
    <row r="447" spans="1:9" ht="22.5" x14ac:dyDescent="0.2">
      <c r="A447" s="83" t="s">
        <v>385</v>
      </c>
      <c r="B447" s="87" t="s">
        <v>374</v>
      </c>
      <c r="C447" s="84" t="s">
        <v>122</v>
      </c>
      <c r="D447" s="87" t="s">
        <v>334</v>
      </c>
      <c r="E447" s="84" t="s">
        <v>386</v>
      </c>
      <c r="F447" s="84"/>
      <c r="G447" s="135">
        <f>G448</f>
        <v>40</v>
      </c>
      <c r="H447" s="166"/>
    </row>
    <row r="448" spans="1:9" x14ac:dyDescent="0.2">
      <c r="A448" s="83" t="s">
        <v>650</v>
      </c>
      <c r="B448" s="87" t="s">
        <v>374</v>
      </c>
      <c r="C448" s="84" t="s">
        <v>122</v>
      </c>
      <c r="D448" s="87" t="s">
        <v>334</v>
      </c>
      <c r="E448" s="84" t="s">
        <v>386</v>
      </c>
      <c r="F448" s="84" t="s">
        <v>150</v>
      </c>
      <c r="G448" s="135">
        <f>G449</f>
        <v>40</v>
      </c>
      <c r="H448" s="166"/>
    </row>
    <row r="449" spans="1:15" ht="22.5" x14ac:dyDescent="0.2">
      <c r="A449" s="83" t="s">
        <v>151</v>
      </c>
      <c r="B449" s="87" t="s">
        <v>374</v>
      </c>
      <c r="C449" s="84" t="s">
        <v>122</v>
      </c>
      <c r="D449" s="87" t="s">
        <v>334</v>
      </c>
      <c r="E449" s="84" t="s">
        <v>386</v>
      </c>
      <c r="F449" s="84" t="s">
        <v>152</v>
      </c>
      <c r="G449" s="135">
        <f>G450</f>
        <v>40</v>
      </c>
      <c r="H449" s="166"/>
    </row>
    <row r="450" spans="1:15" ht="22.5" x14ac:dyDescent="0.2">
      <c r="A450" s="115" t="s">
        <v>153</v>
      </c>
      <c r="B450" s="87" t="s">
        <v>374</v>
      </c>
      <c r="C450" s="84" t="s">
        <v>122</v>
      </c>
      <c r="D450" s="87" t="s">
        <v>334</v>
      </c>
      <c r="E450" s="84" t="s">
        <v>386</v>
      </c>
      <c r="F450" s="84" t="s">
        <v>154</v>
      </c>
      <c r="G450" s="135">
        <v>40</v>
      </c>
      <c r="H450" s="166"/>
    </row>
    <row r="451" spans="1:15" x14ac:dyDescent="0.2">
      <c r="A451" s="88" t="s">
        <v>387</v>
      </c>
      <c r="B451" s="87" t="s">
        <v>374</v>
      </c>
      <c r="C451" s="84" t="s">
        <v>122</v>
      </c>
      <c r="D451" s="87" t="s">
        <v>334</v>
      </c>
      <c r="E451" s="84" t="s">
        <v>388</v>
      </c>
      <c r="F451" s="84"/>
      <c r="G451" s="135">
        <f>G452</f>
        <v>83</v>
      </c>
      <c r="H451" s="166"/>
    </row>
    <row r="452" spans="1:15" x14ac:dyDescent="0.2">
      <c r="A452" s="83" t="s">
        <v>650</v>
      </c>
      <c r="B452" s="87" t="s">
        <v>374</v>
      </c>
      <c r="C452" s="84" t="s">
        <v>122</v>
      </c>
      <c r="D452" s="87" t="s">
        <v>334</v>
      </c>
      <c r="E452" s="84" t="s">
        <v>388</v>
      </c>
      <c r="F452" s="84" t="s">
        <v>150</v>
      </c>
      <c r="G452" s="135">
        <f>G453</f>
        <v>83</v>
      </c>
      <c r="H452" s="166"/>
    </row>
    <row r="453" spans="1:15" ht="22.5" x14ac:dyDescent="0.2">
      <c r="A453" s="83" t="s">
        <v>151</v>
      </c>
      <c r="B453" s="87" t="s">
        <v>374</v>
      </c>
      <c r="C453" s="84" t="s">
        <v>122</v>
      </c>
      <c r="D453" s="87" t="s">
        <v>334</v>
      </c>
      <c r="E453" s="84" t="s">
        <v>388</v>
      </c>
      <c r="F453" s="84" t="s">
        <v>152</v>
      </c>
      <c r="G453" s="135">
        <f>G454</f>
        <v>83</v>
      </c>
      <c r="H453" s="166"/>
    </row>
    <row r="454" spans="1:15" ht="22.5" x14ac:dyDescent="0.2">
      <c r="A454" s="115" t="s">
        <v>153</v>
      </c>
      <c r="B454" s="87" t="s">
        <v>374</v>
      </c>
      <c r="C454" s="84" t="s">
        <v>122</v>
      </c>
      <c r="D454" s="87" t="s">
        <v>334</v>
      </c>
      <c r="E454" s="84" t="s">
        <v>388</v>
      </c>
      <c r="F454" s="84" t="s">
        <v>154</v>
      </c>
      <c r="G454" s="135">
        <v>83</v>
      </c>
      <c r="H454" s="166"/>
    </row>
    <row r="455" spans="1:15" ht="22.5" x14ac:dyDescent="0.2">
      <c r="A455" s="310" t="s">
        <v>76</v>
      </c>
      <c r="B455" s="311" t="s">
        <v>374</v>
      </c>
      <c r="C455" s="230" t="s">
        <v>122</v>
      </c>
      <c r="D455" s="311" t="s">
        <v>334</v>
      </c>
      <c r="E455" s="230" t="s">
        <v>336</v>
      </c>
      <c r="F455" s="230"/>
      <c r="G455" s="309">
        <f>G457</f>
        <v>1</v>
      </c>
      <c r="H455" s="166"/>
    </row>
    <row r="456" spans="1:15" x14ac:dyDescent="0.2">
      <c r="A456" s="83" t="s">
        <v>650</v>
      </c>
      <c r="B456" s="87" t="s">
        <v>374</v>
      </c>
      <c r="C456" s="84" t="s">
        <v>122</v>
      </c>
      <c r="D456" s="87" t="s">
        <v>334</v>
      </c>
      <c r="E456" s="84" t="s">
        <v>336</v>
      </c>
      <c r="F456" s="84">
        <v>200</v>
      </c>
      <c r="G456" s="135">
        <f>G457</f>
        <v>1</v>
      </c>
      <c r="H456" s="166"/>
    </row>
    <row r="457" spans="1:15" ht="22.5" x14ac:dyDescent="0.2">
      <c r="A457" s="83" t="s">
        <v>151</v>
      </c>
      <c r="B457" s="87" t="s">
        <v>374</v>
      </c>
      <c r="C457" s="84" t="s">
        <v>122</v>
      </c>
      <c r="D457" s="87" t="s">
        <v>334</v>
      </c>
      <c r="E457" s="84" t="s">
        <v>336</v>
      </c>
      <c r="F457" s="84">
        <v>240</v>
      </c>
      <c r="G457" s="135">
        <f>G458</f>
        <v>1</v>
      </c>
      <c r="H457" s="166"/>
    </row>
    <row r="458" spans="1:15" ht="22.5" x14ac:dyDescent="0.2">
      <c r="A458" s="115" t="s">
        <v>153</v>
      </c>
      <c r="B458" s="87" t="s">
        <v>374</v>
      </c>
      <c r="C458" s="84" t="s">
        <v>122</v>
      </c>
      <c r="D458" s="87" t="s">
        <v>334</v>
      </c>
      <c r="E458" s="84" t="s">
        <v>336</v>
      </c>
      <c r="F458" s="84">
        <v>244</v>
      </c>
      <c r="G458" s="135">
        <v>1</v>
      </c>
      <c r="H458" s="166"/>
    </row>
    <row r="459" spans="1:15" ht="33.75" x14ac:dyDescent="0.2">
      <c r="A459" s="325" t="s">
        <v>660</v>
      </c>
      <c r="B459" s="320" t="s">
        <v>374</v>
      </c>
      <c r="C459" s="321" t="s">
        <v>122</v>
      </c>
      <c r="D459" s="320" t="s">
        <v>334</v>
      </c>
      <c r="E459" s="321" t="s">
        <v>389</v>
      </c>
      <c r="F459" s="321" t="s">
        <v>184</v>
      </c>
      <c r="G459" s="322">
        <f>G460+G465</f>
        <v>393.9</v>
      </c>
      <c r="H459" s="166"/>
    </row>
    <row r="460" spans="1:15" ht="33.75" x14ac:dyDescent="0.2">
      <c r="A460" s="83" t="s">
        <v>139</v>
      </c>
      <c r="B460" s="87" t="s">
        <v>374</v>
      </c>
      <c r="C460" s="84" t="s">
        <v>122</v>
      </c>
      <c r="D460" s="87" t="s">
        <v>334</v>
      </c>
      <c r="E460" s="84" t="s">
        <v>389</v>
      </c>
      <c r="F460" s="84" t="s">
        <v>140</v>
      </c>
      <c r="G460" s="135">
        <f>G461</f>
        <v>393.09999999999997</v>
      </c>
      <c r="H460" s="166"/>
    </row>
    <row r="461" spans="1:15" x14ac:dyDescent="0.2">
      <c r="A461" s="83" t="s">
        <v>168</v>
      </c>
      <c r="B461" s="87" t="s">
        <v>374</v>
      </c>
      <c r="C461" s="84" t="s">
        <v>122</v>
      </c>
      <c r="D461" s="87" t="s">
        <v>334</v>
      </c>
      <c r="E461" s="84" t="s">
        <v>389</v>
      </c>
      <c r="F461" s="84" t="s">
        <v>232</v>
      </c>
      <c r="G461" s="135">
        <f>G462+G463</f>
        <v>393.09999999999997</v>
      </c>
      <c r="H461" s="166"/>
    </row>
    <row r="462" spans="1:15" s="59" customFormat="1" ht="11.25" x14ac:dyDescent="0.2">
      <c r="A462" s="114" t="s">
        <v>169</v>
      </c>
      <c r="B462" s="87" t="s">
        <v>374</v>
      </c>
      <c r="C462" s="84" t="s">
        <v>122</v>
      </c>
      <c r="D462" s="87" t="s">
        <v>334</v>
      </c>
      <c r="E462" s="84" t="s">
        <v>389</v>
      </c>
      <c r="F462" s="84" t="s">
        <v>233</v>
      </c>
      <c r="G462" s="135">
        <v>301.89999999999998</v>
      </c>
      <c r="H462" s="177"/>
      <c r="I462" s="58"/>
      <c r="J462" s="57"/>
      <c r="K462" s="58"/>
      <c r="L462" s="57"/>
      <c r="M462" s="57"/>
      <c r="N462" s="65"/>
      <c r="O462" s="89"/>
    </row>
    <row r="463" spans="1:15" s="59" customFormat="1" ht="33.75" x14ac:dyDescent="0.2">
      <c r="A463" s="114" t="s">
        <v>170</v>
      </c>
      <c r="B463" s="87" t="s">
        <v>374</v>
      </c>
      <c r="C463" s="84" t="s">
        <v>122</v>
      </c>
      <c r="D463" s="87" t="s">
        <v>334</v>
      </c>
      <c r="E463" s="84" t="s">
        <v>389</v>
      </c>
      <c r="F463" s="84">
        <v>129</v>
      </c>
      <c r="G463" s="135">
        <v>91.2</v>
      </c>
      <c r="H463" s="178"/>
      <c r="I463" s="58"/>
      <c r="J463" s="57"/>
      <c r="K463" s="58"/>
      <c r="L463" s="57"/>
      <c r="M463" s="57"/>
      <c r="N463" s="65"/>
      <c r="O463" s="89"/>
    </row>
    <row r="464" spans="1:15" s="59" customFormat="1" ht="11.25" x14ac:dyDescent="0.2">
      <c r="A464" s="83" t="s">
        <v>650</v>
      </c>
      <c r="B464" s="87" t="s">
        <v>374</v>
      </c>
      <c r="C464" s="84" t="s">
        <v>122</v>
      </c>
      <c r="D464" s="87" t="s">
        <v>334</v>
      </c>
      <c r="E464" s="84" t="s">
        <v>389</v>
      </c>
      <c r="F464" s="84">
        <v>200</v>
      </c>
      <c r="G464" s="135">
        <f>G465</f>
        <v>0.8</v>
      </c>
      <c r="H464" s="167"/>
      <c r="I464" s="58"/>
      <c r="J464" s="57"/>
      <c r="K464" s="58"/>
      <c r="L464" s="57"/>
      <c r="M464" s="57"/>
      <c r="N464" s="65"/>
      <c r="O464" s="89"/>
    </row>
    <row r="465" spans="1:15" ht="22.5" x14ac:dyDescent="0.2">
      <c r="A465" s="83" t="s">
        <v>151</v>
      </c>
      <c r="B465" s="87" t="s">
        <v>374</v>
      </c>
      <c r="C465" s="84" t="s">
        <v>122</v>
      </c>
      <c r="D465" s="87" t="s">
        <v>334</v>
      </c>
      <c r="E465" s="84" t="s">
        <v>389</v>
      </c>
      <c r="F465" s="84" t="s">
        <v>152</v>
      </c>
      <c r="G465" s="135">
        <f>G466</f>
        <v>0.8</v>
      </c>
      <c r="H465" s="167"/>
      <c r="I465" s="126"/>
      <c r="J465" s="57"/>
      <c r="K465" s="58"/>
      <c r="L465" s="57"/>
      <c r="M465" s="57"/>
      <c r="N465" s="65"/>
      <c r="O465" s="90"/>
    </row>
    <row r="466" spans="1:15" ht="22.5" x14ac:dyDescent="0.2">
      <c r="A466" s="115" t="s">
        <v>153</v>
      </c>
      <c r="B466" s="87" t="s">
        <v>374</v>
      </c>
      <c r="C466" s="84" t="s">
        <v>122</v>
      </c>
      <c r="D466" s="87" t="s">
        <v>334</v>
      </c>
      <c r="E466" s="84" t="s">
        <v>389</v>
      </c>
      <c r="F466" s="84" t="s">
        <v>154</v>
      </c>
      <c r="G466" s="135">
        <v>0.8</v>
      </c>
      <c r="H466" s="166"/>
    </row>
    <row r="467" spans="1:15" x14ac:dyDescent="0.2">
      <c r="A467" s="98" t="s">
        <v>339</v>
      </c>
      <c r="B467" s="99" t="s">
        <v>374</v>
      </c>
      <c r="C467" s="99" t="s">
        <v>254</v>
      </c>
      <c r="D467" s="99"/>
      <c r="E467" s="97"/>
      <c r="F467" s="97"/>
      <c r="G467" s="133">
        <f>G468</f>
        <v>199.4</v>
      </c>
      <c r="H467" s="166"/>
      <c r="I467" s="148"/>
    </row>
    <row r="468" spans="1:15" x14ac:dyDescent="0.2">
      <c r="A468" s="98" t="s">
        <v>340</v>
      </c>
      <c r="B468" s="99" t="s">
        <v>374</v>
      </c>
      <c r="C468" s="99" t="s">
        <v>254</v>
      </c>
      <c r="D468" s="99" t="s">
        <v>188</v>
      </c>
      <c r="E468" s="99"/>
      <c r="F468" s="87"/>
      <c r="G468" s="133">
        <f>G469</f>
        <v>199.4</v>
      </c>
      <c r="H468" s="166"/>
    </row>
    <row r="469" spans="1:15" x14ac:dyDescent="0.2">
      <c r="A469" s="83" t="s">
        <v>155</v>
      </c>
      <c r="B469" s="87" t="s">
        <v>374</v>
      </c>
      <c r="C469" s="87" t="s">
        <v>254</v>
      </c>
      <c r="D469" s="87" t="s">
        <v>188</v>
      </c>
      <c r="E469" s="120" t="s">
        <v>335</v>
      </c>
      <c r="F469" s="84"/>
      <c r="G469" s="135">
        <f>G470</f>
        <v>199.4</v>
      </c>
      <c r="H469" s="166"/>
    </row>
    <row r="470" spans="1:15" ht="45" x14ac:dyDescent="0.2">
      <c r="A470" s="319" t="s">
        <v>390</v>
      </c>
      <c r="B470" s="320" t="s">
        <v>374</v>
      </c>
      <c r="C470" s="320" t="s">
        <v>254</v>
      </c>
      <c r="D470" s="320" t="s">
        <v>188</v>
      </c>
      <c r="E470" s="320" t="s">
        <v>341</v>
      </c>
      <c r="F470" s="321"/>
      <c r="G470" s="322">
        <f>G471+G475</f>
        <v>199.4</v>
      </c>
      <c r="H470" s="166"/>
    </row>
    <row r="471" spans="1:15" s="59" customFormat="1" ht="33.75" x14ac:dyDescent="0.2">
      <c r="A471" s="83" t="s">
        <v>139</v>
      </c>
      <c r="B471" s="87" t="s">
        <v>374</v>
      </c>
      <c r="C471" s="87" t="s">
        <v>254</v>
      </c>
      <c r="D471" s="87" t="s">
        <v>188</v>
      </c>
      <c r="E471" s="87" t="s">
        <v>341</v>
      </c>
      <c r="F471" s="84" t="s">
        <v>140</v>
      </c>
      <c r="G471" s="135">
        <f>G472</f>
        <v>187</v>
      </c>
      <c r="H471" s="166"/>
      <c r="I471" s="89"/>
      <c r="J471" s="89"/>
      <c r="K471" s="89"/>
      <c r="L471" s="89"/>
      <c r="M471" s="89"/>
    </row>
    <row r="472" spans="1:15" s="59" customFormat="1" ht="11.25" x14ac:dyDescent="0.2">
      <c r="A472" s="83" t="s">
        <v>141</v>
      </c>
      <c r="B472" s="87" t="s">
        <v>374</v>
      </c>
      <c r="C472" s="87" t="s">
        <v>254</v>
      </c>
      <c r="D472" s="87" t="s">
        <v>188</v>
      </c>
      <c r="E472" s="87" t="s">
        <v>341</v>
      </c>
      <c r="F472" s="84">
        <v>110</v>
      </c>
      <c r="G472" s="135">
        <f>G473+G474</f>
        <v>187</v>
      </c>
      <c r="H472" s="166"/>
      <c r="I472" s="89"/>
      <c r="J472" s="89"/>
      <c r="K472" s="89"/>
      <c r="L472" s="89"/>
      <c r="M472" s="89"/>
    </row>
    <row r="473" spans="1:15" x14ac:dyDescent="0.2">
      <c r="A473" s="83" t="s">
        <v>142</v>
      </c>
      <c r="B473" s="87" t="s">
        <v>374</v>
      </c>
      <c r="C473" s="87" t="s">
        <v>254</v>
      </c>
      <c r="D473" s="87" t="s">
        <v>188</v>
      </c>
      <c r="E473" s="87" t="s">
        <v>341</v>
      </c>
      <c r="F473" s="84">
        <v>111</v>
      </c>
      <c r="G473" s="135">
        <v>143.6</v>
      </c>
      <c r="H473" s="166"/>
      <c r="I473" s="148"/>
    </row>
    <row r="474" spans="1:15" ht="22.5" x14ac:dyDescent="0.2">
      <c r="A474" s="114" t="s">
        <v>143</v>
      </c>
      <c r="B474" s="87" t="s">
        <v>374</v>
      </c>
      <c r="C474" s="87" t="s">
        <v>254</v>
      </c>
      <c r="D474" s="87" t="s">
        <v>188</v>
      </c>
      <c r="E474" s="87" t="s">
        <v>341</v>
      </c>
      <c r="F474" s="84">
        <v>119</v>
      </c>
      <c r="G474" s="135">
        <v>43.4</v>
      </c>
      <c r="H474" s="166"/>
    </row>
    <row r="475" spans="1:15" x14ac:dyDescent="0.2">
      <c r="A475" s="83" t="s">
        <v>650</v>
      </c>
      <c r="B475" s="87" t="s">
        <v>374</v>
      </c>
      <c r="C475" s="87" t="s">
        <v>254</v>
      </c>
      <c r="D475" s="87" t="s">
        <v>188</v>
      </c>
      <c r="E475" s="87" t="s">
        <v>341</v>
      </c>
      <c r="F475" s="84">
        <v>200</v>
      </c>
      <c r="G475" s="135">
        <f>G476</f>
        <v>12.4</v>
      </c>
      <c r="H475" s="166"/>
    </row>
    <row r="476" spans="1:15" s="59" customFormat="1" ht="22.5" x14ac:dyDescent="0.2">
      <c r="A476" s="83" t="s">
        <v>151</v>
      </c>
      <c r="B476" s="87" t="s">
        <v>374</v>
      </c>
      <c r="C476" s="87" t="s">
        <v>254</v>
      </c>
      <c r="D476" s="87" t="s">
        <v>188</v>
      </c>
      <c r="E476" s="87" t="s">
        <v>341</v>
      </c>
      <c r="F476" s="84" t="s">
        <v>152</v>
      </c>
      <c r="G476" s="135">
        <f>G477</f>
        <v>12.4</v>
      </c>
      <c r="H476" s="166"/>
      <c r="I476" s="157"/>
      <c r="J476" s="89"/>
      <c r="K476" s="89"/>
      <c r="L476" s="89"/>
      <c r="M476" s="89"/>
    </row>
    <row r="477" spans="1:15" ht="22.5" x14ac:dyDescent="0.2">
      <c r="A477" s="115" t="s">
        <v>153</v>
      </c>
      <c r="B477" s="87" t="s">
        <v>374</v>
      </c>
      <c r="C477" s="87" t="s">
        <v>254</v>
      </c>
      <c r="D477" s="87" t="s">
        <v>188</v>
      </c>
      <c r="E477" s="87" t="s">
        <v>341</v>
      </c>
      <c r="F477" s="84" t="s">
        <v>154</v>
      </c>
      <c r="G477" s="135">
        <v>12.4</v>
      </c>
      <c r="H477" s="166"/>
    </row>
    <row r="478" spans="1:15" ht="21" x14ac:dyDescent="0.2">
      <c r="A478" s="98" t="s">
        <v>391</v>
      </c>
      <c r="B478" s="106" t="s">
        <v>374</v>
      </c>
      <c r="C478" s="97" t="s">
        <v>188</v>
      </c>
      <c r="D478" s="99" t="s">
        <v>182</v>
      </c>
      <c r="E478" s="97" t="s">
        <v>183</v>
      </c>
      <c r="F478" s="97" t="s">
        <v>184</v>
      </c>
      <c r="G478" s="133">
        <f>G479+G494</f>
        <v>1536.9</v>
      </c>
      <c r="H478" s="166"/>
      <c r="I478" s="148"/>
    </row>
    <row r="479" spans="1:15" ht="21" x14ac:dyDescent="0.2">
      <c r="A479" s="98" t="s">
        <v>392</v>
      </c>
      <c r="B479" s="106" t="s">
        <v>374</v>
      </c>
      <c r="C479" s="97" t="s">
        <v>188</v>
      </c>
      <c r="D479" s="99" t="s">
        <v>262</v>
      </c>
      <c r="E479" s="97"/>
      <c r="F479" s="97"/>
      <c r="G479" s="133">
        <f>G480+G489</f>
        <v>1406.9</v>
      </c>
      <c r="H479" s="166"/>
      <c r="I479" s="148"/>
    </row>
    <row r="480" spans="1:15" x14ac:dyDescent="0.2">
      <c r="A480" s="114" t="s">
        <v>393</v>
      </c>
      <c r="B480" s="87" t="s">
        <v>374</v>
      </c>
      <c r="C480" s="84" t="s">
        <v>188</v>
      </c>
      <c r="D480" s="87" t="s">
        <v>262</v>
      </c>
      <c r="E480" s="84" t="s">
        <v>394</v>
      </c>
      <c r="F480" s="84"/>
      <c r="G480" s="135">
        <f>G481+G485</f>
        <v>1106.9000000000001</v>
      </c>
      <c r="H480" s="166"/>
    </row>
    <row r="481" spans="1:13" ht="33.75" x14ac:dyDescent="0.2">
      <c r="A481" s="83" t="s">
        <v>139</v>
      </c>
      <c r="B481" s="87" t="s">
        <v>374</v>
      </c>
      <c r="C481" s="84" t="s">
        <v>188</v>
      </c>
      <c r="D481" s="87" t="s">
        <v>262</v>
      </c>
      <c r="E481" s="84" t="s">
        <v>394</v>
      </c>
      <c r="F481" s="84" t="s">
        <v>140</v>
      </c>
      <c r="G481" s="135">
        <f>G482</f>
        <v>1006.9</v>
      </c>
      <c r="H481" s="166"/>
    </row>
    <row r="482" spans="1:13" s="59" customFormat="1" ht="11.25" x14ac:dyDescent="0.2">
      <c r="A482" s="83" t="s">
        <v>141</v>
      </c>
      <c r="B482" s="87" t="s">
        <v>374</v>
      </c>
      <c r="C482" s="84" t="s">
        <v>188</v>
      </c>
      <c r="D482" s="87" t="s">
        <v>262</v>
      </c>
      <c r="E482" s="84" t="s">
        <v>394</v>
      </c>
      <c r="F482" s="84">
        <v>110</v>
      </c>
      <c r="G482" s="135">
        <f>G483+G484</f>
        <v>1006.9</v>
      </c>
      <c r="H482" s="166"/>
      <c r="I482" s="89"/>
      <c r="J482" s="89"/>
      <c r="K482" s="89"/>
      <c r="L482" s="89"/>
      <c r="M482" s="89"/>
    </row>
    <row r="483" spans="1:13" s="59" customFormat="1" ht="11.25" x14ac:dyDescent="0.2">
      <c r="A483" s="83" t="s">
        <v>142</v>
      </c>
      <c r="B483" s="87" t="s">
        <v>374</v>
      </c>
      <c r="C483" s="84" t="s">
        <v>188</v>
      </c>
      <c r="D483" s="87" t="s">
        <v>262</v>
      </c>
      <c r="E483" s="84" t="s">
        <v>394</v>
      </c>
      <c r="F483" s="84">
        <v>111</v>
      </c>
      <c r="G483" s="135">
        <v>773.4</v>
      </c>
      <c r="H483" s="166"/>
      <c r="I483" s="89"/>
      <c r="J483" s="89"/>
      <c r="K483" s="89"/>
      <c r="L483" s="89"/>
      <c r="M483" s="89"/>
    </row>
    <row r="484" spans="1:13" s="59" customFormat="1" ht="36" customHeight="1" x14ac:dyDescent="0.2">
      <c r="A484" s="114" t="s">
        <v>143</v>
      </c>
      <c r="B484" s="87" t="s">
        <v>374</v>
      </c>
      <c r="C484" s="84" t="s">
        <v>188</v>
      </c>
      <c r="D484" s="87" t="s">
        <v>262</v>
      </c>
      <c r="E484" s="84" t="s">
        <v>394</v>
      </c>
      <c r="F484" s="84">
        <v>119</v>
      </c>
      <c r="G484" s="135">
        <v>233.5</v>
      </c>
      <c r="H484" s="166"/>
      <c r="I484" s="89"/>
      <c r="J484" s="89"/>
      <c r="K484" s="89"/>
      <c r="L484" s="89"/>
      <c r="M484" s="89"/>
    </row>
    <row r="485" spans="1:13" s="59" customFormat="1" ht="11.25" x14ac:dyDescent="0.2">
      <c r="A485" s="83" t="s">
        <v>650</v>
      </c>
      <c r="B485" s="87" t="s">
        <v>374</v>
      </c>
      <c r="C485" s="84" t="s">
        <v>188</v>
      </c>
      <c r="D485" s="87" t="s">
        <v>262</v>
      </c>
      <c r="E485" s="84" t="s">
        <v>394</v>
      </c>
      <c r="F485" s="84">
        <v>200</v>
      </c>
      <c r="G485" s="135">
        <f>G486</f>
        <v>100</v>
      </c>
      <c r="H485" s="166"/>
      <c r="I485" s="89"/>
      <c r="J485" s="89"/>
      <c r="K485" s="89"/>
      <c r="L485" s="89"/>
      <c r="M485" s="89"/>
    </row>
    <row r="486" spans="1:13" s="59" customFormat="1" ht="22.5" x14ac:dyDescent="0.2">
      <c r="A486" s="83" t="s">
        <v>151</v>
      </c>
      <c r="B486" s="87" t="s">
        <v>374</v>
      </c>
      <c r="C486" s="84" t="s">
        <v>188</v>
      </c>
      <c r="D486" s="87" t="s">
        <v>262</v>
      </c>
      <c r="E486" s="84" t="s">
        <v>394</v>
      </c>
      <c r="F486" s="84">
        <v>240</v>
      </c>
      <c r="G486" s="135">
        <f>G487+G488</f>
        <v>100</v>
      </c>
      <c r="H486" s="166"/>
      <c r="I486" s="89"/>
      <c r="J486" s="89"/>
      <c r="K486" s="89"/>
      <c r="L486" s="89"/>
      <c r="M486" s="89"/>
    </row>
    <row r="487" spans="1:13" s="59" customFormat="1" ht="22.5" x14ac:dyDescent="0.2">
      <c r="A487" s="115" t="s">
        <v>171</v>
      </c>
      <c r="B487" s="87" t="s">
        <v>374</v>
      </c>
      <c r="C487" s="84" t="s">
        <v>188</v>
      </c>
      <c r="D487" s="87" t="s">
        <v>262</v>
      </c>
      <c r="E487" s="84" t="s">
        <v>394</v>
      </c>
      <c r="F487" s="84">
        <v>242</v>
      </c>
      <c r="G487" s="135">
        <v>80.8</v>
      </c>
      <c r="H487" s="166"/>
      <c r="I487" s="89"/>
      <c r="J487" s="89"/>
      <c r="K487" s="89"/>
      <c r="L487" s="89"/>
      <c r="M487" s="89"/>
    </row>
    <row r="488" spans="1:13" s="59" customFormat="1" ht="22.5" x14ac:dyDescent="0.2">
      <c r="A488" s="115" t="s">
        <v>153</v>
      </c>
      <c r="B488" s="87" t="s">
        <v>374</v>
      </c>
      <c r="C488" s="84" t="s">
        <v>188</v>
      </c>
      <c r="D488" s="87" t="s">
        <v>262</v>
      </c>
      <c r="E488" s="84" t="s">
        <v>394</v>
      </c>
      <c r="F488" s="84">
        <v>244</v>
      </c>
      <c r="G488" s="135">
        <v>19.2</v>
      </c>
      <c r="H488" s="166"/>
      <c r="I488" s="89"/>
      <c r="J488" s="89"/>
      <c r="K488" s="89"/>
      <c r="L488" s="89"/>
      <c r="M488" s="89"/>
    </row>
    <row r="489" spans="1:13" s="59" customFormat="1" ht="33.75" x14ac:dyDescent="0.2">
      <c r="A489" s="114" t="s">
        <v>395</v>
      </c>
      <c r="B489" s="87" t="s">
        <v>374</v>
      </c>
      <c r="C489" s="84" t="s">
        <v>188</v>
      </c>
      <c r="D489" s="87" t="s">
        <v>262</v>
      </c>
      <c r="E489" s="84" t="s">
        <v>396</v>
      </c>
      <c r="F489" s="84"/>
      <c r="G489" s="135">
        <f>G490</f>
        <v>300</v>
      </c>
      <c r="H489" s="166"/>
      <c r="I489" s="89"/>
      <c r="J489" s="89"/>
      <c r="K489" s="89"/>
      <c r="L489" s="89"/>
      <c r="M489" s="89"/>
    </row>
    <row r="490" spans="1:13" s="59" customFormat="1" ht="33.75" x14ac:dyDescent="0.2">
      <c r="A490" s="114" t="s">
        <v>397</v>
      </c>
      <c r="B490" s="87" t="s">
        <v>374</v>
      </c>
      <c r="C490" s="84" t="s">
        <v>188</v>
      </c>
      <c r="D490" s="87" t="s">
        <v>262</v>
      </c>
      <c r="E490" s="84" t="s">
        <v>398</v>
      </c>
      <c r="F490" s="84"/>
      <c r="G490" s="135">
        <f>G491</f>
        <v>300</v>
      </c>
      <c r="H490" s="166"/>
      <c r="I490" s="89"/>
      <c r="J490" s="89"/>
      <c r="K490" s="89"/>
      <c r="L490" s="89"/>
      <c r="M490" s="89"/>
    </row>
    <row r="491" spans="1:13" s="59" customFormat="1" ht="11.25" x14ac:dyDescent="0.2">
      <c r="A491" s="83" t="s">
        <v>650</v>
      </c>
      <c r="B491" s="87" t="s">
        <v>374</v>
      </c>
      <c r="C491" s="84" t="s">
        <v>188</v>
      </c>
      <c r="D491" s="87" t="s">
        <v>262</v>
      </c>
      <c r="E491" s="84" t="s">
        <v>398</v>
      </c>
      <c r="F491" s="84">
        <v>200</v>
      </c>
      <c r="G491" s="135">
        <f>G492</f>
        <v>300</v>
      </c>
      <c r="H491" s="166"/>
      <c r="I491" s="89"/>
      <c r="J491" s="89"/>
      <c r="K491" s="89"/>
      <c r="L491" s="89"/>
      <c r="M491" s="89"/>
    </row>
    <row r="492" spans="1:13" s="59" customFormat="1" ht="22.5" x14ac:dyDescent="0.2">
      <c r="A492" s="83" t="s">
        <v>151</v>
      </c>
      <c r="B492" s="87" t="s">
        <v>374</v>
      </c>
      <c r="C492" s="84" t="s">
        <v>188</v>
      </c>
      <c r="D492" s="87" t="s">
        <v>262</v>
      </c>
      <c r="E492" s="84" t="s">
        <v>398</v>
      </c>
      <c r="F492" s="84">
        <v>240</v>
      </c>
      <c r="G492" s="135">
        <f>G493</f>
        <v>300</v>
      </c>
      <c r="H492" s="166"/>
      <c r="I492" s="89"/>
      <c r="J492" s="89"/>
      <c r="K492" s="89"/>
      <c r="L492" s="89"/>
      <c r="M492" s="89"/>
    </row>
    <row r="493" spans="1:13" s="59" customFormat="1" ht="22.5" x14ac:dyDescent="0.2">
      <c r="A493" s="115" t="s">
        <v>153</v>
      </c>
      <c r="B493" s="87" t="s">
        <v>374</v>
      </c>
      <c r="C493" s="84" t="s">
        <v>188</v>
      </c>
      <c r="D493" s="87" t="s">
        <v>262</v>
      </c>
      <c r="E493" s="84" t="s">
        <v>398</v>
      </c>
      <c r="F493" s="84">
        <v>244</v>
      </c>
      <c r="G493" s="135">
        <f>200+100</f>
        <v>300</v>
      </c>
      <c r="H493" s="166"/>
      <c r="I493" s="89"/>
      <c r="J493" s="89"/>
      <c r="K493" s="89"/>
      <c r="L493" s="89"/>
      <c r="M493" s="89"/>
    </row>
    <row r="494" spans="1:13" s="59" customFormat="1" ht="21" x14ac:dyDescent="0.2">
      <c r="A494" s="98" t="s">
        <v>399</v>
      </c>
      <c r="B494" s="99" t="s">
        <v>374</v>
      </c>
      <c r="C494" s="97" t="s">
        <v>188</v>
      </c>
      <c r="D494" s="99" t="s">
        <v>353</v>
      </c>
      <c r="E494" s="97" t="s">
        <v>183</v>
      </c>
      <c r="F494" s="97" t="s">
        <v>184</v>
      </c>
      <c r="G494" s="133">
        <f>G495</f>
        <v>130</v>
      </c>
      <c r="H494" s="166"/>
      <c r="I494" s="157"/>
      <c r="J494" s="89"/>
      <c r="K494" s="89"/>
      <c r="L494" s="89"/>
      <c r="M494" s="89"/>
    </row>
    <row r="495" spans="1:13" s="59" customFormat="1" ht="31.5" x14ac:dyDescent="0.2">
      <c r="A495" s="98" t="s">
        <v>400</v>
      </c>
      <c r="B495" s="106" t="s">
        <v>374</v>
      </c>
      <c r="C495" s="97" t="s">
        <v>188</v>
      </c>
      <c r="D495" s="99" t="s">
        <v>353</v>
      </c>
      <c r="E495" s="97" t="s">
        <v>401</v>
      </c>
      <c r="F495" s="97" t="s">
        <v>184</v>
      </c>
      <c r="G495" s="133">
        <f>G496+G500</f>
        <v>130</v>
      </c>
      <c r="H495" s="166"/>
      <c r="I495" s="89"/>
      <c r="J495" s="89"/>
      <c r="K495" s="89"/>
      <c r="L495" s="89"/>
      <c r="M495" s="89"/>
    </row>
    <row r="496" spans="1:13" s="59" customFormat="1" ht="22.5" x14ac:dyDescent="0.2">
      <c r="A496" s="100" t="s">
        <v>402</v>
      </c>
      <c r="B496" s="104" t="s">
        <v>374</v>
      </c>
      <c r="C496" s="102" t="s">
        <v>188</v>
      </c>
      <c r="D496" s="102" t="s">
        <v>353</v>
      </c>
      <c r="E496" s="102" t="s">
        <v>403</v>
      </c>
      <c r="F496" s="102" t="s">
        <v>184</v>
      </c>
      <c r="G496" s="134">
        <f>+G497</f>
        <v>100</v>
      </c>
      <c r="H496" s="171"/>
      <c r="I496" s="89"/>
      <c r="J496" s="89"/>
      <c r="K496" s="89"/>
      <c r="L496" s="89"/>
      <c r="M496" s="89"/>
    </row>
    <row r="497" spans="1:14" x14ac:dyDescent="0.2">
      <c r="A497" s="83" t="s">
        <v>650</v>
      </c>
      <c r="B497" s="105" t="s">
        <v>374</v>
      </c>
      <c r="C497" s="84" t="s">
        <v>188</v>
      </c>
      <c r="D497" s="84" t="s">
        <v>353</v>
      </c>
      <c r="E497" s="84" t="s">
        <v>403</v>
      </c>
      <c r="F497" s="84" t="s">
        <v>150</v>
      </c>
      <c r="G497" s="135">
        <f>+G498</f>
        <v>100</v>
      </c>
      <c r="H497" s="171"/>
    </row>
    <row r="498" spans="1:14" ht="22.5" x14ac:dyDescent="0.2">
      <c r="A498" s="83" t="s">
        <v>151</v>
      </c>
      <c r="B498" s="87" t="s">
        <v>374</v>
      </c>
      <c r="C498" s="84" t="s">
        <v>188</v>
      </c>
      <c r="D498" s="84" t="s">
        <v>353</v>
      </c>
      <c r="E498" s="84" t="s">
        <v>403</v>
      </c>
      <c r="F498" s="84" t="s">
        <v>152</v>
      </c>
      <c r="G498" s="135">
        <f>+G499</f>
        <v>100</v>
      </c>
      <c r="H498" s="171"/>
    </row>
    <row r="499" spans="1:14" ht="22.5" x14ac:dyDescent="0.2">
      <c r="A499" s="115" t="s">
        <v>153</v>
      </c>
      <c r="B499" s="105" t="s">
        <v>374</v>
      </c>
      <c r="C499" s="84" t="s">
        <v>188</v>
      </c>
      <c r="D499" s="84" t="s">
        <v>353</v>
      </c>
      <c r="E499" s="84" t="s">
        <v>403</v>
      </c>
      <c r="F499" s="84" t="s">
        <v>154</v>
      </c>
      <c r="G499" s="135">
        <v>100</v>
      </c>
      <c r="H499" s="166"/>
      <c r="I499" s="148"/>
    </row>
    <row r="500" spans="1:14" ht="22.5" x14ac:dyDescent="0.2">
      <c r="A500" s="100" t="s">
        <v>404</v>
      </c>
      <c r="B500" s="104" t="s">
        <v>374</v>
      </c>
      <c r="C500" s="102" t="s">
        <v>188</v>
      </c>
      <c r="D500" s="102" t="s">
        <v>353</v>
      </c>
      <c r="E500" s="102" t="s">
        <v>405</v>
      </c>
      <c r="F500" s="102" t="s">
        <v>184</v>
      </c>
      <c r="G500" s="134">
        <f>+G501</f>
        <v>30</v>
      </c>
      <c r="H500" s="166"/>
      <c r="I500" s="148"/>
    </row>
    <row r="501" spans="1:14" x14ac:dyDescent="0.2">
      <c r="A501" s="83" t="s">
        <v>650</v>
      </c>
      <c r="B501" s="105" t="s">
        <v>374</v>
      </c>
      <c r="C501" s="84" t="s">
        <v>188</v>
      </c>
      <c r="D501" s="84" t="s">
        <v>353</v>
      </c>
      <c r="E501" s="84" t="s">
        <v>405</v>
      </c>
      <c r="F501" s="84" t="s">
        <v>150</v>
      </c>
      <c r="G501" s="135">
        <f>+G502</f>
        <v>30</v>
      </c>
      <c r="H501" s="171"/>
    </row>
    <row r="502" spans="1:14" ht="22.5" x14ac:dyDescent="0.2">
      <c r="A502" s="83" t="s">
        <v>151</v>
      </c>
      <c r="B502" s="87" t="s">
        <v>374</v>
      </c>
      <c r="C502" s="84" t="s">
        <v>188</v>
      </c>
      <c r="D502" s="84" t="s">
        <v>353</v>
      </c>
      <c r="E502" s="84" t="s">
        <v>405</v>
      </c>
      <c r="F502" s="84" t="s">
        <v>152</v>
      </c>
      <c r="G502" s="135">
        <f>+G503</f>
        <v>30</v>
      </c>
      <c r="H502" s="171"/>
    </row>
    <row r="503" spans="1:14" ht="22.5" x14ac:dyDescent="0.2">
      <c r="A503" s="115" t="s">
        <v>153</v>
      </c>
      <c r="B503" s="105" t="s">
        <v>374</v>
      </c>
      <c r="C503" s="84" t="s">
        <v>188</v>
      </c>
      <c r="D503" s="84" t="s">
        <v>353</v>
      </c>
      <c r="E503" s="84" t="s">
        <v>405</v>
      </c>
      <c r="F503" s="84" t="s">
        <v>154</v>
      </c>
      <c r="G503" s="135">
        <v>30</v>
      </c>
      <c r="H503" s="171"/>
      <c r="I503" s="148"/>
    </row>
    <row r="504" spans="1:14" x14ac:dyDescent="0.2">
      <c r="A504" s="98" t="s">
        <v>406</v>
      </c>
      <c r="B504" s="99" t="s">
        <v>374</v>
      </c>
      <c r="C504" s="97" t="s">
        <v>160</v>
      </c>
      <c r="D504" s="99"/>
      <c r="E504" s="97"/>
      <c r="F504" s="97"/>
      <c r="G504" s="133">
        <f>G505+G511</f>
        <v>4670</v>
      </c>
      <c r="H504" s="171"/>
      <c r="I504" s="148"/>
    </row>
    <row r="505" spans="1:14" x14ac:dyDescent="0.2">
      <c r="A505" s="116" t="s">
        <v>407</v>
      </c>
      <c r="B505" s="106" t="s">
        <v>374</v>
      </c>
      <c r="C505" s="99" t="s">
        <v>160</v>
      </c>
      <c r="D505" s="99" t="s">
        <v>262</v>
      </c>
      <c r="E505" s="97"/>
      <c r="F505" s="97"/>
      <c r="G505" s="133">
        <f>G506</f>
        <v>3809</v>
      </c>
      <c r="H505" s="171"/>
    </row>
    <row r="506" spans="1:14" ht="31.5" x14ac:dyDescent="0.2">
      <c r="A506" s="98" t="s">
        <v>408</v>
      </c>
      <c r="B506" s="106" t="s">
        <v>374</v>
      </c>
      <c r="C506" s="99" t="s">
        <v>160</v>
      </c>
      <c r="D506" s="99" t="s">
        <v>262</v>
      </c>
      <c r="E506" s="97" t="s">
        <v>409</v>
      </c>
      <c r="F506" s="97"/>
      <c r="G506" s="133">
        <f>G507</f>
        <v>3809</v>
      </c>
      <c r="H506" s="171"/>
    </row>
    <row r="507" spans="1:14" ht="112.5" x14ac:dyDescent="0.2">
      <c r="A507" s="114" t="s">
        <v>410</v>
      </c>
      <c r="B507" s="105" t="s">
        <v>374</v>
      </c>
      <c r="C507" s="87" t="s">
        <v>160</v>
      </c>
      <c r="D507" s="87" t="s">
        <v>262</v>
      </c>
      <c r="E507" s="84" t="s">
        <v>409</v>
      </c>
      <c r="F507" s="84"/>
      <c r="G507" s="135">
        <f>G508</f>
        <v>3809</v>
      </c>
      <c r="H507" s="171"/>
    </row>
    <row r="508" spans="1:14" x14ac:dyDescent="0.2">
      <c r="A508" s="83" t="s">
        <v>650</v>
      </c>
      <c r="B508" s="105" t="s">
        <v>374</v>
      </c>
      <c r="C508" s="87" t="s">
        <v>160</v>
      </c>
      <c r="D508" s="87" t="s">
        <v>262</v>
      </c>
      <c r="E508" s="84" t="s">
        <v>409</v>
      </c>
      <c r="F508" s="84" t="s">
        <v>150</v>
      </c>
      <c r="G508" s="135">
        <f>G509</f>
        <v>3809</v>
      </c>
      <c r="H508" s="171"/>
    </row>
    <row r="509" spans="1:14" ht="22.5" x14ac:dyDescent="0.2">
      <c r="A509" s="83" t="s">
        <v>151</v>
      </c>
      <c r="B509" s="105" t="s">
        <v>374</v>
      </c>
      <c r="C509" s="87" t="s">
        <v>160</v>
      </c>
      <c r="D509" s="87" t="s">
        <v>262</v>
      </c>
      <c r="E509" s="84" t="s">
        <v>409</v>
      </c>
      <c r="F509" s="84" t="s">
        <v>152</v>
      </c>
      <c r="G509" s="135">
        <f>G510</f>
        <v>3809</v>
      </c>
      <c r="H509" s="166"/>
    </row>
    <row r="510" spans="1:14" ht="22.5" x14ac:dyDescent="0.2">
      <c r="A510" s="115" t="s">
        <v>153</v>
      </c>
      <c r="B510" s="105" t="s">
        <v>374</v>
      </c>
      <c r="C510" s="87" t="s">
        <v>160</v>
      </c>
      <c r="D510" s="87" t="s">
        <v>262</v>
      </c>
      <c r="E510" s="84" t="s">
        <v>409</v>
      </c>
      <c r="F510" s="84" t="s">
        <v>154</v>
      </c>
      <c r="G510" s="135">
        <v>3809</v>
      </c>
      <c r="H510" s="166"/>
    </row>
    <row r="511" spans="1:14" x14ac:dyDescent="0.2">
      <c r="A511" s="98" t="s">
        <v>296</v>
      </c>
      <c r="B511" s="99" t="s">
        <v>374</v>
      </c>
      <c r="C511" s="97" t="s">
        <v>160</v>
      </c>
      <c r="D511" s="99" t="s">
        <v>297</v>
      </c>
      <c r="E511" s="97"/>
      <c r="F511" s="97" t="s">
        <v>184</v>
      </c>
      <c r="G511" s="133">
        <f>G526+G512+G540+G531</f>
        <v>861</v>
      </c>
      <c r="H511" s="166"/>
      <c r="N511" s="229"/>
    </row>
    <row r="512" spans="1:14" ht="21" x14ac:dyDescent="0.2">
      <c r="A512" s="118" t="s">
        <v>411</v>
      </c>
      <c r="B512" s="106" t="s">
        <v>374</v>
      </c>
      <c r="C512" s="99" t="s">
        <v>160</v>
      </c>
      <c r="D512" s="99" t="s">
        <v>297</v>
      </c>
      <c r="E512" s="97" t="s">
        <v>412</v>
      </c>
      <c r="F512" s="97" t="s">
        <v>184</v>
      </c>
      <c r="G512" s="133">
        <f>G515+G518</f>
        <v>350</v>
      </c>
      <c r="H512" s="166"/>
    </row>
    <row r="513" spans="1:8" ht="22.5" x14ac:dyDescent="0.2">
      <c r="A513" s="114" t="s">
        <v>413</v>
      </c>
      <c r="B513" s="105" t="s">
        <v>374</v>
      </c>
      <c r="C513" s="87" t="s">
        <v>160</v>
      </c>
      <c r="D513" s="87" t="s">
        <v>297</v>
      </c>
      <c r="E513" s="84" t="s">
        <v>414</v>
      </c>
      <c r="F513" s="84"/>
      <c r="G513" s="135">
        <f>G514</f>
        <v>150</v>
      </c>
      <c r="H513" s="166"/>
    </row>
    <row r="514" spans="1:8" x14ac:dyDescent="0.2">
      <c r="A514" s="124" t="s">
        <v>415</v>
      </c>
      <c r="B514" s="105" t="s">
        <v>374</v>
      </c>
      <c r="C514" s="87" t="s">
        <v>160</v>
      </c>
      <c r="D514" s="87" t="s">
        <v>297</v>
      </c>
      <c r="E514" s="84" t="s">
        <v>416</v>
      </c>
      <c r="F514" s="84"/>
      <c r="G514" s="135">
        <f>G515</f>
        <v>150</v>
      </c>
      <c r="H514" s="166"/>
    </row>
    <row r="515" spans="1:8" x14ac:dyDescent="0.2">
      <c r="A515" s="83" t="s">
        <v>650</v>
      </c>
      <c r="B515" s="105" t="s">
        <v>374</v>
      </c>
      <c r="C515" s="87" t="s">
        <v>160</v>
      </c>
      <c r="D515" s="87" t="s">
        <v>297</v>
      </c>
      <c r="E515" s="84" t="s">
        <v>416</v>
      </c>
      <c r="F515" s="84" t="s">
        <v>150</v>
      </c>
      <c r="G515" s="135">
        <f>G516</f>
        <v>150</v>
      </c>
      <c r="H515" s="166"/>
    </row>
    <row r="516" spans="1:8" ht="22.5" x14ac:dyDescent="0.2">
      <c r="A516" s="83" t="s">
        <v>151</v>
      </c>
      <c r="B516" s="105" t="s">
        <v>374</v>
      </c>
      <c r="C516" s="87" t="s">
        <v>160</v>
      </c>
      <c r="D516" s="87" t="s">
        <v>297</v>
      </c>
      <c r="E516" s="84" t="s">
        <v>416</v>
      </c>
      <c r="F516" s="84" t="s">
        <v>152</v>
      </c>
      <c r="G516" s="135">
        <f>G517</f>
        <v>150</v>
      </c>
      <c r="H516" s="166"/>
    </row>
    <row r="517" spans="1:8" ht="22.5" x14ac:dyDescent="0.2">
      <c r="A517" s="115" t="s">
        <v>153</v>
      </c>
      <c r="B517" s="105" t="s">
        <v>374</v>
      </c>
      <c r="C517" s="87" t="s">
        <v>160</v>
      </c>
      <c r="D517" s="87" t="s">
        <v>297</v>
      </c>
      <c r="E517" s="84" t="s">
        <v>416</v>
      </c>
      <c r="F517" s="84" t="s">
        <v>154</v>
      </c>
      <c r="G517" s="135">
        <v>150</v>
      </c>
      <c r="H517" s="166"/>
    </row>
    <row r="518" spans="1:8" ht="22.5" x14ac:dyDescent="0.2">
      <c r="A518" s="114" t="s">
        <v>417</v>
      </c>
      <c r="B518" s="105" t="s">
        <v>374</v>
      </c>
      <c r="C518" s="87" t="s">
        <v>160</v>
      </c>
      <c r="D518" s="87" t="s">
        <v>297</v>
      </c>
      <c r="E518" s="84" t="s">
        <v>418</v>
      </c>
      <c r="F518" s="84"/>
      <c r="G518" s="135">
        <f>G519</f>
        <v>200</v>
      </c>
      <c r="H518" s="166"/>
    </row>
    <row r="519" spans="1:8" ht="33.75" x14ac:dyDescent="0.2">
      <c r="A519" s="114" t="s">
        <v>419</v>
      </c>
      <c r="B519" s="105" t="s">
        <v>374</v>
      </c>
      <c r="C519" s="87" t="s">
        <v>160</v>
      </c>
      <c r="D519" s="87" t="s">
        <v>297</v>
      </c>
      <c r="E519" s="84" t="s">
        <v>420</v>
      </c>
      <c r="F519" s="84"/>
      <c r="G519" s="135">
        <f>G520+G523</f>
        <v>200</v>
      </c>
      <c r="H519" s="166"/>
    </row>
    <row r="520" spans="1:8" ht="33.75" x14ac:dyDescent="0.2">
      <c r="A520" s="83" t="s">
        <v>139</v>
      </c>
      <c r="B520" s="105" t="s">
        <v>374</v>
      </c>
      <c r="C520" s="87" t="s">
        <v>160</v>
      </c>
      <c r="D520" s="87" t="s">
        <v>297</v>
      </c>
      <c r="E520" s="84" t="s">
        <v>420</v>
      </c>
      <c r="F520" s="84">
        <v>100</v>
      </c>
      <c r="G520" s="135">
        <f>G521</f>
        <v>10</v>
      </c>
      <c r="H520" s="166"/>
    </row>
    <row r="521" spans="1:8" x14ac:dyDescent="0.2">
      <c r="A521" s="83" t="s">
        <v>168</v>
      </c>
      <c r="B521" s="105" t="s">
        <v>374</v>
      </c>
      <c r="C521" s="87" t="s">
        <v>160</v>
      </c>
      <c r="D521" s="87" t="s">
        <v>297</v>
      </c>
      <c r="E521" s="84" t="s">
        <v>420</v>
      </c>
      <c r="F521" s="84">
        <v>120</v>
      </c>
      <c r="G521" s="135">
        <f>G522</f>
        <v>10</v>
      </c>
      <c r="H521" s="166"/>
    </row>
    <row r="522" spans="1:8" ht="22.5" x14ac:dyDescent="0.2">
      <c r="A522" s="69" t="s">
        <v>293</v>
      </c>
      <c r="B522" s="105" t="s">
        <v>374</v>
      </c>
      <c r="C522" s="87" t="s">
        <v>160</v>
      </c>
      <c r="D522" s="87" t="s">
        <v>297</v>
      </c>
      <c r="E522" s="84" t="s">
        <v>420</v>
      </c>
      <c r="F522" s="84">
        <v>122</v>
      </c>
      <c r="G522" s="135">
        <v>10</v>
      </c>
      <c r="H522" s="166"/>
    </row>
    <row r="523" spans="1:8" x14ac:dyDescent="0.2">
      <c r="A523" s="83" t="s">
        <v>650</v>
      </c>
      <c r="B523" s="105" t="s">
        <v>374</v>
      </c>
      <c r="C523" s="87" t="s">
        <v>160</v>
      </c>
      <c r="D523" s="87" t="s">
        <v>297</v>
      </c>
      <c r="E523" s="84" t="s">
        <v>420</v>
      </c>
      <c r="F523" s="84" t="s">
        <v>150</v>
      </c>
      <c r="G523" s="135">
        <f>G524</f>
        <v>190</v>
      </c>
      <c r="H523" s="166"/>
    </row>
    <row r="524" spans="1:8" ht="22.5" x14ac:dyDescent="0.2">
      <c r="A524" s="83" t="s">
        <v>151</v>
      </c>
      <c r="B524" s="105" t="s">
        <v>374</v>
      </c>
      <c r="C524" s="87" t="s">
        <v>160</v>
      </c>
      <c r="D524" s="87" t="s">
        <v>297</v>
      </c>
      <c r="E524" s="84" t="s">
        <v>420</v>
      </c>
      <c r="F524" s="84" t="s">
        <v>152</v>
      </c>
      <c r="G524" s="135">
        <f>G525</f>
        <v>190</v>
      </c>
      <c r="H524" s="166"/>
    </row>
    <row r="525" spans="1:8" ht="22.5" x14ac:dyDescent="0.2">
      <c r="A525" s="115" t="s">
        <v>153</v>
      </c>
      <c r="B525" s="105" t="s">
        <v>374</v>
      </c>
      <c r="C525" s="87" t="s">
        <v>160</v>
      </c>
      <c r="D525" s="87" t="s">
        <v>297</v>
      </c>
      <c r="E525" s="84" t="s">
        <v>420</v>
      </c>
      <c r="F525" s="84" t="s">
        <v>154</v>
      </c>
      <c r="G525" s="135">
        <v>190</v>
      </c>
      <c r="H525" s="166"/>
    </row>
    <row r="526" spans="1:8" ht="31.5" x14ac:dyDescent="0.2">
      <c r="A526" s="98" t="s">
        <v>421</v>
      </c>
      <c r="B526" s="106" t="s">
        <v>374</v>
      </c>
      <c r="C526" s="97" t="s">
        <v>160</v>
      </c>
      <c r="D526" s="99" t="s">
        <v>297</v>
      </c>
      <c r="E526" s="97" t="s">
        <v>422</v>
      </c>
      <c r="F526" s="97"/>
      <c r="G526" s="133">
        <f>+G527</f>
        <v>61</v>
      </c>
      <c r="H526" s="166"/>
    </row>
    <row r="527" spans="1:8" ht="22.5" x14ac:dyDescent="0.2">
      <c r="A527" s="83" t="s">
        <v>423</v>
      </c>
      <c r="B527" s="87" t="s">
        <v>374</v>
      </c>
      <c r="C527" s="87" t="s">
        <v>160</v>
      </c>
      <c r="D527" s="87" t="s">
        <v>297</v>
      </c>
      <c r="E527" s="84" t="s">
        <v>424</v>
      </c>
      <c r="F527" s="84" t="s">
        <v>184</v>
      </c>
      <c r="G527" s="141">
        <f>G528</f>
        <v>61</v>
      </c>
      <c r="H527" s="166"/>
    </row>
    <row r="528" spans="1:8" x14ac:dyDescent="0.2">
      <c r="A528" s="83" t="s">
        <v>650</v>
      </c>
      <c r="B528" s="105" t="s">
        <v>374</v>
      </c>
      <c r="C528" s="87" t="s">
        <v>160</v>
      </c>
      <c r="D528" s="87" t="s">
        <v>297</v>
      </c>
      <c r="E528" s="84" t="s">
        <v>424</v>
      </c>
      <c r="F528" s="84" t="s">
        <v>150</v>
      </c>
      <c r="G528" s="141">
        <f>G529</f>
        <v>61</v>
      </c>
      <c r="H528" s="174"/>
    </row>
    <row r="529" spans="1:13" ht="22.5" x14ac:dyDescent="0.2">
      <c r="A529" s="83" t="s">
        <v>151</v>
      </c>
      <c r="B529" s="87" t="s">
        <v>374</v>
      </c>
      <c r="C529" s="87" t="s">
        <v>160</v>
      </c>
      <c r="D529" s="87" t="s">
        <v>297</v>
      </c>
      <c r="E529" s="84" t="s">
        <v>424</v>
      </c>
      <c r="F529" s="84" t="s">
        <v>152</v>
      </c>
      <c r="G529" s="141">
        <f>G530</f>
        <v>61</v>
      </c>
      <c r="H529" s="174"/>
    </row>
    <row r="530" spans="1:13" ht="22.5" x14ac:dyDescent="0.2">
      <c r="A530" s="115" t="s">
        <v>153</v>
      </c>
      <c r="B530" s="105" t="s">
        <v>374</v>
      </c>
      <c r="C530" s="87" t="s">
        <v>160</v>
      </c>
      <c r="D530" s="87" t="s">
        <v>297</v>
      </c>
      <c r="E530" s="84" t="s">
        <v>424</v>
      </c>
      <c r="F530" s="84" t="s">
        <v>154</v>
      </c>
      <c r="G530" s="141">
        <v>61</v>
      </c>
      <c r="H530" s="174"/>
    </row>
    <row r="531" spans="1:13" ht="21" x14ac:dyDescent="0.2">
      <c r="A531" s="98" t="s">
        <v>425</v>
      </c>
      <c r="B531" s="106" t="s">
        <v>374</v>
      </c>
      <c r="C531" s="97" t="s">
        <v>160</v>
      </c>
      <c r="D531" s="99" t="s">
        <v>297</v>
      </c>
      <c r="E531" s="97" t="s">
        <v>426</v>
      </c>
      <c r="F531" s="97"/>
      <c r="G531" s="142">
        <f>G532+G536</f>
        <v>50</v>
      </c>
      <c r="H531" s="174"/>
    </row>
    <row r="532" spans="1:13" ht="22.5" x14ac:dyDescent="0.2">
      <c r="A532" s="114" t="s">
        <v>67</v>
      </c>
      <c r="B532" s="105" t="s">
        <v>374</v>
      </c>
      <c r="C532" s="84" t="s">
        <v>160</v>
      </c>
      <c r="D532" s="87" t="s">
        <v>297</v>
      </c>
      <c r="E532" s="84" t="s">
        <v>427</v>
      </c>
      <c r="F532" s="91"/>
      <c r="G532" s="136">
        <f>G533</f>
        <v>0</v>
      </c>
      <c r="H532" s="174"/>
    </row>
    <row r="533" spans="1:13" x14ac:dyDescent="0.2">
      <c r="A533" s="83" t="s">
        <v>650</v>
      </c>
      <c r="B533" s="105" t="s">
        <v>374</v>
      </c>
      <c r="C533" s="84" t="s">
        <v>160</v>
      </c>
      <c r="D533" s="87" t="s">
        <v>297</v>
      </c>
      <c r="E533" s="84" t="s">
        <v>427</v>
      </c>
      <c r="F533" s="91" t="s">
        <v>150</v>
      </c>
      <c r="G533" s="136">
        <f>G534</f>
        <v>0</v>
      </c>
      <c r="H533" s="174"/>
    </row>
    <row r="534" spans="1:13" ht="22.5" x14ac:dyDescent="0.2">
      <c r="A534" s="83" t="s">
        <v>151</v>
      </c>
      <c r="B534" s="105" t="s">
        <v>374</v>
      </c>
      <c r="C534" s="84" t="s">
        <v>160</v>
      </c>
      <c r="D534" s="87" t="s">
        <v>297</v>
      </c>
      <c r="E534" s="84" t="s">
        <v>427</v>
      </c>
      <c r="F534" s="91" t="s">
        <v>152</v>
      </c>
      <c r="G534" s="136">
        <f>G535</f>
        <v>0</v>
      </c>
      <c r="H534" s="174"/>
    </row>
    <row r="535" spans="1:13" ht="22.5" x14ac:dyDescent="0.2">
      <c r="A535" s="115" t="s">
        <v>153</v>
      </c>
      <c r="B535" s="105" t="s">
        <v>374</v>
      </c>
      <c r="C535" s="84" t="s">
        <v>160</v>
      </c>
      <c r="D535" s="87" t="s">
        <v>297</v>
      </c>
      <c r="E535" s="84" t="s">
        <v>427</v>
      </c>
      <c r="F535" s="91" t="s">
        <v>154</v>
      </c>
      <c r="G535" s="136"/>
      <c r="H535" s="174"/>
    </row>
    <row r="536" spans="1:13" x14ac:dyDescent="0.2">
      <c r="A536" s="124" t="s">
        <v>428</v>
      </c>
      <c r="B536" s="87" t="s">
        <v>374</v>
      </c>
      <c r="C536" s="87" t="s">
        <v>160</v>
      </c>
      <c r="D536" s="87" t="s">
        <v>297</v>
      </c>
      <c r="E536" s="84" t="s">
        <v>429</v>
      </c>
      <c r="F536" s="84" t="s">
        <v>184</v>
      </c>
      <c r="G536" s="141">
        <f>G537</f>
        <v>50</v>
      </c>
      <c r="H536" s="174"/>
    </row>
    <row r="537" spans="1:13" x14ac:dyDescent="0.2">
      <c r="A537" s="83" t="s">
        <v>650</v>
      </c>
      <c r="B537" s="105" t="s">
        <v>374</v>
      </c>
      <c r="C537" s="87" t="s">
        <v>160</v>
      </c>
      <c r="D537" s="87" t="s">
        <v>297</v>
      </c>
      <c r="E537" s="84" t="s">
        <v>429</v>
      </c>
      <c r="F537" s="84" t="s">
        <v>150</v>
      </c>
      <c r="G537" s="141">
        <f>G538</f>
        <v>50</v>
      </c>
      <c r="H537" s="170"/>
    </row>
    <row r="538" spans="1:13" s="74" customFormat="1" ht="22.5" x14ac:dyDescent="0.2">
      <c r="A538" s="83" t="s">
        <v>151</v>
      </c>
      <c r="B538" s="87" t="s">
        <v>374</v>
      </c>
      <c r="C538" s="87" t="s">
        <v>160</v>
      </c>
      <c r="D538" s="87" t="s">
        <v>297</v>
      </c>
      <c r="E538" s="84" t="s">
        <v>429</v>
      </c>
      <c r="F538" s="84" t="s">
        <v>152</v>
      </c>
      <c r="G538" s="141">
        <f>G539</f>
        <v>50</v>
      </c>
      <c r="H538" s="170"/>
      <c r="I538" s="150"/>
      <c r="J538" s="150"/>
      <c r="K538" s="150"/>
      <c r="L538" s="150"/>
      <c r="M538" s="150"/>
    </row>
    <row r="539" spans="1:13" s="74" customFormat="1" ht="22.5" x14ac:dyDescent="0.2">
      <c r="A539" s="115" t="s">
        <v>153</v>
      </c>
      <c r="B539" s="105" t="s">
        <v>374</v>
      </c>
      <c r="C539" s="87" t="s">
        <v>160</v>
      </c>
      <c r="D539" s="87" t="s">
        <v>297</v>
      </c>
      <c r="E539" s="84" t="s">
        <v>429</v>
      </c>
      <c r="F539" s="84" t="s">
        <v>154</v>
      </c>
      <c r="G539" s="141">
        <v>50</v>
      </c>
      <c r="H539" s="170"/>
      <c r="I539" s="150"/>
      <c r="J539" s="150"/>
      <c r="K539" s="150"/>
      <c r="L539" s="150"/>
      <c r="M539" s="150"/>
    </row>
    <row r="540" spans="1:13" s="74" customFormat="1" ht="22.5" x14ac:dyDescent="0.2">
      <c r="A540" s="83" t="s">
        <v>430</v>
      </c>
      <c r="B540" s="87" t="s">
        <v>374</v>
      </c>
      <c r="C540" s="87" t="s">
        <v>160</v>
      </c>
      <c r="D540" s="87" t="s">
        <v>297</v>
      </c>
      <c r="E540" s="84" t="s">
        <v>431</v>
      </c>
      <c r="F540" s="84" t="s">
        <v>184</v>
      </c>
      <c r="G540" s="135">
        <f>G541</f>
        <v>400</v>
      </c>
      <c r="H540" s="170"/>
      <c r="I540" s="150"/>
      <c r="J540" s="150"/>
      <c r="K540" s="150"/>
      <c r="L540" s="150"/>
      <c r="M540" s="150"/>
    </row>
    <row r="541" spans="1:13" s="74" customFormat="1" ht="22.5" x14ac:dyDescent="0.2">
      <c r="A541" s="83" t="s">
        <v>432</v>
      </c>
      <c r="B541" s="105" t="s">
        <v>374</v>
      </c>
      <c r="C541" s="87" t="s">
        <v>160</v>
      </c>
      <c r="D541" s="87" t="s">
        <v>297</v>
      </c>
      <c r="E541" s="84" t="s">
        <v>433</v>
      </c>
      <c r="F541" s="84"/>
      <c r="G541" s="135">
        <f>G542</f>
        <v>400</v>
      </c>
      <c r="H541" s="174"/>
      <c r="I541" s="150"/>
      <c r="J541" s="150"/>
      <c r="K541" s="150"/>
      <c r="L541" s="150"/>
      <c r="M541" s="150"/>
    </row>
    <row r="542" spans="1:13" x14ac:dyDescent="0.2">
      <c r="A542" s="83" t="s">
        <v>650</v>
      </c>
      <c r="B542" s="105" t="s">
        <v>374</v>
      </c>
      <c r="C542" s="87" t="s">
        <v>160</v>
      </c>
      <c r="D542" s="87" t="s">
        <v>297</v>
      </c>
      <c r="E542" s="84" t="s">
        <v>433</v>
      </c>
      <c r="F542" s="84" t="s">
        <v>150</v>
      </c>
      <c r="G542" s="135">
        <f>G543</f>
        <v>400</v>
      </c>
      <c r="H542" s="174"/>
    </row>
    <row r="543" spans="1:13" ht="22.5" x14ac:dyDescent="0.2">
      <c r="A543" s="83" t="s">
        <v>151</v>
      </c>
      <c r="B543" s="87" t="s">
        <v>374</v>
      </c>
      <c r="C543" s="87" t="s">
        <v>160</v>
      </c>
      <c r="D543" s="87" t="s">
        <v>297</v>
      </c>
      <c r="E543" s="84" t="s">
        <v>433</v>
      </c>
      <c r="F543" s="84" t="s">
        <v>152</v>
      </c>
      <c r="G543" s="135">
        <f>G544</f>
        <v>400</v>
      </c>
      <c r="H543" s="174"/>
    </row>
    <row r="544" spans="1:13" ht="23.25" customHeight="1" x14ac:dyDescent="0.2">
      <c r="A544" s="115" t="s">
        <v>153</v>
      </c>
      <c r="B544" s="105" t="s">
        <v>374</v>
      </c>
      <c r="C544" s="87" t="s">
        <v>160</v>
      </c>
      <c r="D544" s="87" t="s">
        <v>297</v>
      </c>
      <c r="E544" s="84" t="s">
        <v>433</v>
      </c>
      <c r="F544" s="84" t="s">
        <v>154</v>
      </c>
      <c r="G544" s="135">
        <f>200+200</f>
        <v>400</v>
      </c>
      <c r="H544" s="174"/>
    </row>
    <row r="545" spans="1:14" x14ac:dyDescent="0.2">
      <c r="A545" s="125" t="s">
        <v>434</v>
      </c>
      <c r="B545" s="106" t="s">
        <v>374</v>
      </c>
      <c r="C545" s="99" t="s">
        <v>286</v>
      </c>
      <c r="D545" s="99"/>
      <c r="E545" s="97"/>
      <c r="F545" s="97"/>
      <c r="G545" s="133">
        <f>G546</f>
        <v>700</v>
      </c>
      <c r="H545" s="166"/>
      <c r="I545" s="148"/>
      <c r="N545" s="229"/>
    </row>
    <row r="546" spans="1:14" x14ac:dyDescent="0.2">
      <c r="A546" s="125" t="s">
        <v>435</v>
      </c>
      <c r="B546" s="106" t="s">
        <v>374</v>
      </c>
      <c r="C546" s="99" t="s">
        <v>286</v>
      </c>
      <c r="D546" s="99" t="s">
        <v>188</v>
      </c>
      <c r="E546" s="97"/>
      <c r="F546" s="97"/>
      <c r="G546" s="133">
        <f>G547</f>
        <v>700</v>
      </c>
      <c r="H546" s="166"/>
    </row>
    <row r="547" spans="1:14" ht="31.5" x14ac:dyDescent="0.2">
      <c r="A547" s="118" t="s">
        <v>436</v>
      </c>
      <c r="B547" s="106" t="s">
        <v>374</v>
      </c>
      <c r="C547" s="99" t="s">
        <v>286</v>
      </c>
      <c r="D547" s="99" t="s">
        <v>188</v>
      </c>
      <c r="E547" s="97" t="s">
        <v>437</v>
      </c>
      <c r="F547" s="97"/>
      <c r="G547" s="133">
        <f>G548+G552+G556</f>
        <v>700</v>
      </c>
      <c r="H547" s="166"/>
    </row>
    <row r="548" spans="1:14" ht="22.5" x14ac:dyDescent="0.2">
      <c r="A548" s="114" t="s">
        <v>438</v>
      </c>
      <c r="B548" s="105" t="s">
        <v>374</v>
      </c>
      <c r="C548" s="87" t="s">
        <v>286</v>
      </c>
      <c r="D548" s="87" t="s">
        <v>188</v>
      </c>
      <c r="E548" s="84" t="s">
        <v>439</v>
      </c>
      <c r="F548" s="84"/>
      <c r="G548" s="135">
        <f>G549</f>
        <v>642.5</v>
      </c>
      <c r="H548" s="166"/>
    </row>
    <row r="549" spans="1:14" x14ac:dyDescent="0.2">
      <c r="A549" s="83" t="s">
        <v>650</v>
      </c>
      <c r="B549" s="105" t="s">
        <v>374</v>
      </c>
      <c r="C549" s="87" t="s">
        <v>286</v>
      </c>
      <c r="D549" s="87" t="s">
        <v>188</v>
      </c>
      <c r="E549" s="84" t="s">
        <v>439</v>
      </c>
      <c r="F549" s="84" t="s">
        <v>150</v>
      </c>
      <c r="G549" s="135">
        <f>G550</f>
        <v>642.5</v>
      </c>
      <c r="H549" s="166"/>
    </row>
    <row r="550" spans="1:14" ht="22.5" x14ac:dyDescent="0.2">
      <c r="A550" s="83" t="s">
        <v>151</v>
      </c>
      <c r="B550" s="105" t="s">
        <v>374</v>
      </c>
      <c r="C550" s="87" t="s">
        <v>286</v>
      </c>
      <c r="D550" s="87" t="s">
        <v>188</v>
      </c>
      <c r="E550" s="84" t="s">
        <v>439</v>
      </c>
      <c r="F550" s="84" t="s">
        <v>152</v>
      </c>
      <c r="G550" s="135">
        <f>G551</f>
        <v>642.5</v>
      </c>
      <c r="H550" s="166"/>
    </row>
    <row r="551" spans="1:14" ht="22.5" x14ac:dyDescent="0.2">
      <c r="A551" s="115" t="s">
        <v>153</v>
      </c>
      <c r="B551" s="105" t="s">
        <v>374</v>
      </c>
      <c r="C551" s="87" t="s">
        <v>286</v>
      </c>
      <c r="D551" s="87" t="s">
        <v>188</v>
      </c>
      <c r="E551" s="84" t="s">
        <v>439</v>
      </c>
      <c r="F551" s="84" t="s">
        <v>154</v>
      </c>
      <c r="G551" s="135">
        <v>642.5</v>
      </c>
      <c r="H551" s="166"/>
    </row>
    <row r="552" spans="1:14" ht="22.5" x14ac:dyDescent="0.2">
      <c r="A552" s="83" t="s">
        <v>440</v>
      </c>
      <c r="B552" s="105" t="s">
        <v>374</v>
      </c>
      <c r="C552" s="87" t="s">
        <v>286</v>
      </c>
      <c r="D552" s="87" t="s">
        <v>188</v>
      </c>
      <c r="E552" s="84" t="s">
        <v>441</v>
      </c>
      <c r="F552" s="84"/>
      <c r="G552" s="135">
        <f>G553</f>
        <v>20</v>
      </c>
      <c r="H552" s="166"/>
    </row>
    <row r="553" spans="1:14" x14ac:dyDescent="0.2">
      <c r="A553" s="83" t="s">
        <v>650</v>
      </c>
      <c r="B553" s="105" t="s">
        <v>374</v>
      </c>
      <c r="C553" s="87" t="s">
        <v>286</v>
      </c>
      <c r="D553" s="87" t="s">
        <v>188</v>
      </c>
      <c r="E553" s="84" t="s">
        <v>441</v>
      </c>
      <c r="F553" s="84" t="s">
        <v>150</v>
      </c>
      <c r="G553" s="135">
        <f>G554</f>
        <v>20</v>
      </c>
      <c r="H553" s="166"/>
    </row>
    <row r="554" spans="1:14" ht="22.5" x14ac:dyDescent="0.2">
      <c r="A554" s="83" t="s">
        <v>151</v>
      </c>
      <c r="B554" s="105" t="s">
        <v>374</v>
      </c>
      <c r="C554" s="87" t="s">
        <v>286</v>
      </c>
      <c r="D554" s="87" t="s">
        <v>188</v>
      </c>
      <c r="E554" s="84" t="s">
        <v>441</v>
      </c>
      <c r="F554" s="84" t="s">
        <v>152</v>
      </c>
      <c r="G554" s="135">
        <f>G555</f>
        <v>20</v>
      </c>
      <c r="H554" s="166"/>
    </row>
    <row r="555" spans="1:14" ht="22.5" x14ac:dyDescent="0.2">
      <c r="A555" s="115" t="s">
        <v>153</v>
      </c>
      <c r="B555" s="105" t="s">
        <v>374</v>
      </c>
      <c r="C555" s="87" t="s">
        <v>286</v>
      </c>
      <c r="D555" s="87" t="s">
        <v>188</v>
      </c>
      <c r="E555" s="84" t="s">
        <v>441</v>
      </c>
      <c r="F555" s="84" t="s">
        <v>154</v>
      </c>
      <c r="G555" s="135">
        <v>20</v>
      </c>
      <c r="H555" s="166"/>
    </row>
    <row r="556" spans="1:14" ht="22.5" x14ac:dyDescent="0.2">
      <c r="A556" s="100" t="s">
        <v>442</v>
      </c>
      <c r="B556" s="111" t="s">
        <v>374</v>
      </c>
      <c r="C556" s="104" t="s">
        <v>286</v>
      </c>
      <c r="D556" s="104" t="s">
        <v>188</v>
      </c>
      <c r="E556" s="102" t="s">
        <v>443</v>
      </c>
      <c r="F556" s="102"/>
      <c r="G556" s="134">
        <f>G557</f>
        <v>37.5</v>
      </c>
      <c r="H556" s="166"/>
    </row>
    <row r="557" spans="1:14" x14ac:dyDescent="0.2">
      <c r="A557" s="83" t="s">
        <v>650</v>
      </c>
      <c r="B557" s="105" t="s">
        <v>374</v>
      </c>
      <c r="C557" s="87" t="s">
        <v>286</v>
      </c>
      <c r="D557" s="87" t="s">
        <v>188</v>
      </c>
      <c r="E557" s="84" t="s">
        <v>443</v>
      </c>
      <c r="F557" s="84" t="s">
        <v>150</v>
      </c>
      <c r="G557" s="135">
        <f>G558</f>
        <v>37.5</v>
      </c>
      <c r="H557" s="166"/>
    </row>
    <row r="558" spans="1:14" ht="22.5" x14ac:dyDescent="0.2">
      <c r="A558" s="83" t="s">
        <v>151</v>
      </c>
      <c r="B558" s="105" t="s">
        <v>374</v>
      </c>
      <c r="C558" s="87" t="s">
        <v>286</v>
      </c>
      <c r="D558" s="87" t="s">
        <v>188</v>
      </c>
      <c r="E558" s="84" t="s">
        <v>443</v>
      </c>
      <c r="F558" s="84" t="s">
        <v>152</v>
      </c>
      <c r="G558" s="135">
        <f>G559</f>
        <v>37.5</v>
      </c>
      <c r="H558" s="166"/>
    </row>
    <row r="559" spans="1:14" ht="22.5" x14ac:dyDescent="0.2">
      <c r="A559" s="115" t="s">
        <v>153</v>
      </c>
      <c r="B559" s="105" t="s">
        <v>374</v>
      </c>
      <c r="C559" s="87" t="s">
        <v>286</v>
      </c>
      <c r="D559" s="87" t="s">
        <v>188</v>
      </c>
      <c r="E559" s="84" t="s">
        <v>443</v>
      </c>
      <c r="F559" s="84" t="s">
        <v>154</v>
      </c>
      <c r="G559" s="135">
        <v>37.5</v>
      </c>
      <c r="H559" s="166"/>
    </row>
    <row r="560" spans="1:14" x14ac:dyDescent="0.2">
      <c r="A560" s="98" t="s">
        <v>241</v>
      </c>
      <c r="B560" s="95" t="s">
        <v>374</v>
      </c>
      <c r="C560" s="94" t="s">
        <v>242</v>
      </c>
      <c r="D560" s="94"/>
      <c r="E560" s="96"/>
      <c r="F560" s="96"/>
      <c r="G560" s="138">
        <f>G561+G567</f>
        <v>493.19999999999993</v>
      </c>
      <c r="H560" s="166"/>
      <c r="I560" s="148"/>
      <c r="L560" s="148"/>
    </row>
    <row r="561" spans="1:13" x14ac:dyDescent="0.2">
      <c r="A561" s="98" t="s">
        <v>504</v>
      </c>
      <c r="B561" s="95" t="s">
        <v>374</v>
      </c>
      <c r="C561" s="94" t="s">
        <v>242</v>
      </c>
      <c r="D561" s="94" t="s">
        <v>242</v>
      </c>
      <c r="E561" s="96" t="s">
        <v>183</v>
      </c>
      <c r="F561" s="96" t="s">
        <v>184</v>
      </c>
      <c r="G561" s="133">
        <f>G562</f>
        <v>60</v>
      </c>
      <c r="H561" s="166"/>
    </row>
    <row r="562" spans="1:13" ht="31.5" x14ac:dyDescent="0.2">
      <c r="A562" s="98" t="s">
        <v>452</v>
      </c>
      <c r="B562" s="95" t="s">
        <v>374</v>
      </c>
      <c r="C562" s="94" t="s">
        <v>242</v>
      </c>
      <c r="D562" s="94" t="s">
        <v>242</v>
      </c>
      <c r="E562" s="96" t="s">
        <v>453</v>
      </c>
      <c r="F562" s="96"/>
      <c r="G562" s="138">
        <f>G563</f>
        <v>60</v>
      </c>
      <c r="H562" s="166"/>
    </row>
    <row r="563" spans="1:13" ht="22.5" x14ac:dyDescent="0.2">
      <c r="A563" s="119" t="s">
        <v>454</v>
      </c>
      <c r="B563" s="107" t="s">
        <v>374</v>
      </c>
      <c r="C563" s="101" t="s">
        <v>242</v>
      </c>
      <c r="D563" s="101" t="s">
        <v>242</v>
      </c>
      <c r="E563" s="103" t="s">
        <v>455</v>
      </c>
      <c r="F563" s="103"/>
      <c r="G563" s="143">
        <f>G564</f>
        <v>60</v>
      </c>
      <c r="H563" s="166"/>
    </row>
    <row r="564" spans="1:13" x14ac:dyDescent="0.2">
      <c r="A564" s="83" t="s">
        <v>650</v>
      </c>
      <c r="B564" s="62" t="s">
        <v>374</v>
      </c>
      <c r="C564" s="67" t="s">
        <v>242</v>
      </c>
      <c r="D564" s="67" t="s">
        <v>242</v>
      </c>
      <c r="E564" s="68" t="s">
        <v>455</v>
      </c>
      <c r="F564" s="68">
        <v>200</v>
      </c>
      <c r="G564" s="131">
        <f>G565</f>
        <v>60</v>
      </c>
      <c r="H564" s="166"/>
    </row>
    <row r="565" spans="1:13" ht="22.5" x14ac:dyDescent="0.2">
      <c r="A565" s="83" t="s">
        <v>151</v>
      </c>
      <c r="B565" s="62" t="s">
        <v>374</v>
      </c>
      <c r="C565" s="67" t="s">
        <v>242</v>
      </c>
      <c r="D565" s="67" t="s">
        <v>242</v>
      </c>
      <c r="E565" s="68" t="s">
        <v>455</v>
      </c>
      <c r="F565" s="68">
        <v>240</v>
      </c>
      <c r="G565" s="131">
        <f>G566</f>
        <v>60</v>
      </c>
      <c r="H565" s="166"/>
    </row>
    <row r="566" spans="1:13" ht="22.5" x14ac:dyDescent="0.2">
      <c r="A566" s="115" t="s">
        <v>153</v>
      </c>
      <c r="B566" s="62" t="s">
        <v>374</v>
      </c>
      <c r="C566" s="67" t="s">
        <v>242</v>
      </c>
      <c r="D566" s="67" t="s">
        <v>242</v>
      </c>
      <c r="E566" s="68" t="s">
        <v>455</v>
      </c>
      <c r="F566" s="68">
        <v>244</v>
      </c>
      <c r="G566" s="131">
        <v>60</v>
      </c>
      <c r="H566" s="166"/>
      <c r="I566" s="148"/>
    </row>
    <row r="567" spans="1:13" x14ac:dyDescent="0.2">
      <c r="A567" s="98" t="s">
        <v>261</v>
      </c>
      <c r="B567" s="94" t="s">
        <v>374</v>
      </c>
      <c r="C567" s="94" t="s">
        <v>242</v>
      </c>
      <c r="D567" s="94" t="s">
        <v>262</v>
      </c>
      <c r="E567" s="96" t="s">
        <v>183</v>
      </c>
      <c r="F567" s="96" t="s">
        <v>184</v>
      </c>
      <c r="G567" s="133">
        <f>G568</f>
        <v>433.19999999999993</v>
      </c>
      <c r="H567" s="171"/>
      <c r="I567" s="148"/>
    </row>
    <row r="568" spans="1:13" s="92" customFormat="1" ht="22.5" customHeight="1" x14ac:dyDescent="0.2">
      <c r="A568" s="326" t="s">
        <v>661</v>
      </c>
      <c r="B568" s="327" t="s">
        <v>374</v>
      </c>
      <c r="C568" s="328" t="s">
        <v>242</v>
      </c>
      <c r="D568" s="328" t="s">
        <v>262</v>
      </c>
      <c r="E568" s="328" t="s">
        <v>446</v>
      </c>
      <c r="F568" s="329" t="s">
        <v>184</v>
      </c>
      <c r="G568" s="330">
        <f>G569+G574</f>
        <v>433.19999999999993</v>
      </c>
      <c r="H568" s="170"/>
      <c r="I568" s="158"/>
      <c r="J568" s="158"/>
      <c r="K568" s="158"/>
      <c r="L568" s="158"/>
      <c r="M568" s="158"/>
    </row>
    <row r="569" spans="1:13" s="74" customFormat="1" ht="33.75" x14ac:dyDescent="0.2">
      <c r="A569" s="83" t="s">
        <v>139</v>
      </c>
      <c r="B569" s="73" t="s">
        <v>374</v>
      </c>
      <c r="C569" s="68" t="s">
        <v>242</v>
      </c>
      <c r="D569" s="68" t="s">
        <v>262</v>
      </c>
      <c r="E569" s="68" t="s">
        <v>446</v>
      </c>
      <c r="F569" s="72">
        <v>100</v>
      </c>
      <c r="G569" s="139">
        <f>G570</f>
        <v>367.59999999999997</v>
      </c>
      <c r="H569" s="170"/>
      <c r="I569" s="150"/>
      <c r="J569" s="150"/>
      <c r="K569" s="150"/>
      <c r="L569" s="150"/>
      <c r="M569" s="150"/>
    </row>
    <row r="570" spans="1:13" s="74" customFormat="1" x14ac:dyDescent="0.2">
      <c r="A570" s="83" t="s">
        <v>168</v>
      </c>
      <c r="B570" s="93" t="s">
        <v>374</v>
      </c>
      <c r="C570" s="68" t="s">
        <v>242</v>
      </c>
      <c r="D570" s="68" t="s">
        <v>262</v>
      </c>
      <c r="E570" s="68" t="s">
        <v>446</v>
      </c>
      <c r="F570" s="72">
        <v>120</v>
      </c>
      <c r="G570" s="139">
        <f>G571+G572+G573</f>
        <v>367.59999999999997</v>
      </c>
      <c r="H570" s="170"/>
      <c r="I570" s="150"/>
      <c r="J570" s="150"/>
      <c r="K570" s="150"/>
      <c r="L570" s="150"/>
      <c r="M570" s="150"/>
    </row>
    <row r="571" spans="1:13" s="74" customFormat="1" x14ac:dyDescent="0.2">
      <c r="A571" s="114" t="s">
        <v>169</v>
      </c>
      <c r="B571" s="93" t="s">
        <v>374</v>
      </c>
      <c r="C571" s="68" t="s">
        <v>242</v>
      </c>
      <c r="D571" s="68" t="s">
        <v>262</v>
      </c>
      <c r="E571" s="68" t="s">
        <v>446</v>
      </c>
      <c r="F571" s="72">
        <v>121</v>
      </c>
      <c r="G571" s="139">
        <v>270.39999999999998</v>
      </c>
      <c r="H571" s="166"/>
      <c r="I571" s="150"/>
      <c r="J571" s="150"/>
      <c r="K571" s="150"/>
      <c r="L571" s="150"/>
      <c r="M571" s="150"/>
    </row>
    <row r="572" spans="1:13" ht="22.5" x14ac:dyDescent="0.2">
      <c r="A572" s="69" t="s">
        <v>293</v>
      </c>
      <c r="B572" s="67" t="s">
        <v>374</v>
      </c>
      <c r="C572" s="68" t="s">
        <v>242</v>
      </c>
      <c r="D572" s="68" t="s">
        <v>262</v>
      </c>
      <c r="E572" s="68" t="s">
        <v>446</v>
      </c>
      <c r="F572" s="68">
        <v>122</v>
      </c>
      <c r="G572" s="131">
        <v>15.5</v>
      </c>
      <c r="H572" s="166"/>
    </row>
    <row r="573" spans="1:13" ht="33.75" x14ac:dyDescent="0.2">
      <c r="A573" s="114" t="s">
        <v>170</v>
      </c>
      <c r="B573" s="67" t="s">
        <v>374</v>
      </c>
      <c r="C573" s="68" t="s">
        <v>242</v>
      </c>
      <c r="D573" s="68" t="s">
        <v>262</v>
      </c>
      <c r="E573" s="68" t="s">
        <v>446</v>
      </c>
      <c r="F573" s="68">
        <v>129</v>
      </c>
      <c r="G573" s="131">
        <v>81.7</v>
      </c>
      <c r="H573" s="166"/>
      <c r="I573" s="148"/>
    </row>
    <row r="574" spans="1:13" x14ac:dyDescent="0.2">
      <c r="A574" s="83" t="s">
        <v>650</v>
      </c>
      <c r="B574" s="62" t="s">
        <v>374</v>
      </c>
      <c r="C574" s="68" t="s">
        <v>242</v>
      </c>
      <c r="D574" s="68" t="s">
        <v>262</v>
      </c>
      <c r="E574" s="68" t="s">
        <v>446</v>
      </c>
      <c r="F574" s="68" t="s">
        <v>150</v>
      </c>
      <c r="G574" s="131">
        <f>G575</f>
        <v>65.599999999999994</v>
      </c>
      <c r="H574" s="166"/>
    </row>
    <row r="575" spans="1:13" ht="22.5" x14ac:dyDescent="0.2">
      <c r="A575" s="83" t="s">
        <v>151</v>
      </c>
      <c r="B575" s="67" t="s">
        <v>374</v>
      </c>
      <c r="C575" s="68" t="s">
        <v>242</v>
      </c>
      <c r="D575" s="68" t="s">
        <v>262</v>
      </c>
      <c r="E575" s="68" t="s">
        <v>446</v>
      </c>
      <c r="F575" s="68" t="s">
        <v>152</v>
      </c>
      <c r="G575" s="131">
        <f>G577+G576</f>
        <v>65.599999999999994</v>
      </c>
      <c r="H575" s="166"/>
    </row>
    <row r="576" spans="1:13" ht="22.5" x14ac:dyDescent="0.2">
      <c r="A576" s="115" t="s">
        <v>171</v>
      </c>
      <c r="B576" s="67" t="s">
        <v>374</v>
      </c>
      <c r="C576" s="68" t="s">
        <v>242</v>
      </c>
      <c r="D576" s="68" t="s">
        <v>262</v>
      </c>
      <c r="E576" s="68" t="s">
        <v>446</v>
      </c>
      <c r="F576" s="68">
        <v>242</v>
      </c>
      <c r="G576" s="131">
        <v>5</v>
      </c>
      <c r="H576" s="166"/>
    </row>
    <row r="577" spans="1:14" ht="22.5" x14ac:dyDescent="0.2">
      <c r="A577" s="115" t="s">
        <v>153</v>
      </c>
      <c r="B577" s="62" t="s">
        <v>374</v>
      </c>
      <c r="C577" s="68" t="s">
        <v>242</v>
      </c>
      <c r="D577" s="68" t="s">
        <v>262</v>
      </c>
      <c r="E577" s="68" t="s">
        <v>446</v>
      </c>
      <c r="F577" s="68" t="s">
        <v>154</v>
      </c>
      <c r="G577" s="131">
        <v>60.6</v>
      </c>
      <c r="H577" s="166"/>
    </row>
    <row r="578" spans="1:14" x14ac:dyDescent="0.2">
      <c r="A578" s="98" t="s">
        <v>456</v>
      </c>
      <c r="B578" s="106" t="s">
        <v>374</v>
      </c>
      <c r="C578" s="97" t="s">
        <v>262</v>
      </c>
      <c r="D578" s="99" t="s">
        <v>182</v>
      </c>
      <c r="E578" s="97" t="s">
        <v>183</v>
      </c>
      <c r="F578" s="97" t="s">
        <v>184</v>
      </c>
      <c r="G578" s="133">
        <f t="shared" ref="G578:G584" si="4">G579</f>
        <v>200</v>
      </c>
      <c r="H578" s="166"/>
      <c r="I578" s="148"/>
      <c r="N578" s="229"/>
    </row>
    <row r="579" spans="1:14" x14ac:dyDescent="0.2">
      <c r="A579" s="98" t="s">
        <v>457</v>
      </c>
      <c r="B579" s="99" t="s">
        <v>374</v>
      </c>
      <c r="C579" s="97" t="s">
        <v>262</v>
      </c>
      <c r="D579" s="99" t="s">
        <v>262</v>
      </c>
      <c r="E579" s="97" t="s">
        <v>183</v>
      </c>
      <c r="F579" s="97" t="s">
        <v>184</v>
      </c>
      <c r="G579" s="133">
        <f t="shared" si="4"/>
        <v>200</v>
      </c>
      <c r="H579" s="166"/>
    </row>
    <row r="580" spans="1:14" ht="21" x14ac:dyDescent="0.2">
      <c r="A580" s="118" t="s">
        <v>458</v>
      </c>
      <c r="B580" s="99" t="s">
        <v>374</v>
      </c>
      <c r="C580" s="97" t="s">
        <v>262</v>
      </c>
      <c r="D580" s="99" t="s">
        <v>262</v>
      </c>
      <c r="E580" s="97" t="s">
        <v>459</v>
      </c>
      <c r="F580" s="97"/>
      <c r="G580" s="133">
        <f>G581</f>
        <v>200</v>
      </c>
      <c r="H580" s="166"/>
    </row>
    <row r="581" spans="1:14" ht="33.75" x14ac:dyDescent="0.2">
      <c r="A581" s="83" t="s">
        <v>460</v>
      </c>
      <c r="B581" s="105" t="s">
        <v>374</v>
      </c>
      <c r="C581" s="84" t="s">
        <v>262</v>
      </c>
      <c r="D581" s="87" t="s">
        <v>262</v>
      </c>
      <c r="E581" s="84" t="s">
        <v>461</v>
      </c>
      <c r="F581" s="84" t="s">
        <v>184</v>
      </c>
      <c r="G581" s="135">
        <f>G582</f>
        <v>200</v>
      </c>
      <c r="H581" s="166"/>
    </row>
    <row r="582" spans="1:14" ht="33.75" x14ac:dyDescent="0.2">
      <c r="A582" s="100" t="s">
        <v>462</v>
      </c>
      <c r="B582" s="104" t="s">
        <v>374</v>
      </c>
      <c r="C582" s="102" t="s">
        <v>262</v>
      </c>
      <c r="D582" s="104" t="s">
        <v>262</v>
      </c>
      <c r="E582" s="102" t="s">
        <v>463</v>
      </c>
      <c r="F582" s="102"/>
      <c r="G582" s="134">
        <f>G583</f>
        <v>200</v>
      </c>
      <c r="H582" s="166"/>
    </row>
    <row r="583" spans="1:14" x14ac:dyDescent="0.2">
      <c r="A583" s="83" t="s">
        <v>650</v>
      </c>
      <c r="B583" s="87" t="s">
        <v>374</v>
      </c>
      <c r="C583" s="84" t="s">
        <v>262</v>
      </c>
      <c r="D583" s="87" t="s">
        <v>262</v>
      </c>
      <c r="E583" s="84" t="s">
        <v>463</v>
      </c>
      <c r="F583" s="84" t="s">
        <v>150</v>
      </c>
      <c r="G583" s="135">
        <f t="shared" si="4"/>
        <v>200</v>
      </c>
      <c r="H583" s="166"/>
    </row>
    <row r="584" spans="1:14" ht="22.5" x14ac:dyDescent="0.2">
      <c r="A584" s="83" t="s">
        <v>151</v>
      </c>
      <c r="B584" s="105" t="s">
        <v>374</v>
      </c>
      <c r="C584" s="84" t="s">
        <v>262</v>
      </c>
      <c r="D584" s="87" t="s">
        <v>262</v>
      </c>
      <c r="E584" s="84" t="s">
        <v>463</v>
      </c>
      <c r="F584" s="84" t="s">
        <v>152</v>
      </c>
      <c r="G584" s="135">
        <f t="shared" si="4"/>
        <v>200</v>
      </c>
      <c r="H584" s="166"/>
      <c r="I584" s="148"/>
    </row>
    <row r="585" spans="1:14" ht="22.5" x14ac:dyDescent="0.2">
      <c r="A585" s="115" t="s">
        <v>153</v>
      </c>
      <c r="B585" s="87" t="s">
        <v>374</v>
      </c>
      <c r="C585" s="84" t="s">
        <v>262</v>
      </c>
      <c r="D585" s="87" t="s">
        <v>262</v>
      </c>
      <c r="E585" s="84" t="s">
        <v>463</v>
      </c>
      <c r="F585" s="84" t="s">
        <v>154</v>
      </c>
      <c r="G585" s="144">
        <v>200</v>
      </c>
      <c r="H585" s="166"/>
    </row>
    <row r="586" spans="1:14" x14ac:dyDescent="0.2">
      <c r="A586" s="98" t="s">
        <v>185</v>
      </c>
      <c r="B586" s="99" t="s">
        <v>374</v>
      </c>
      <c r="C586" s="97">
        <v>10</v>
      </c>
      <c r="D586" s="99"/>
      <c r="E586" s="97"/>
      <c r="F586" s="97"/>
      <c r="G586" s="145">
        <f>G587</f>
        <v>1340</v>
      </c>
      <c r="H586" s="166"/>
      <c r="I586" s="148"/>
      <c r="N586" s="229"/>
    </row>
    <row r="587" spans="1:14" x14ac:dyDescent="0.2">
      <c r="A587" s="98" t="s">
        <v>464</v>
      </c>
      <c r="B587" s="99" t="s">
        <v>374</v>
      </c>
      <c r="C587" s="97">
        <v>10</v>
      </c>
      <c r="D587" s="99" t="s">
        <v>188</v>
      </c>
      <c r="E587" s="97"/>
      <c r="F587" s="97"/>
      <c r="G587" s="145">
        <f>G588+G598</f>
        <v>1340</v>
      </c>
      <c r="H587" s="166"/>
    </row>
    <row r="588" spans="1:14" ht="21" x14ac:dyDescent="0.2">
      <c r="A588" s="98" t="s">
        <v>189</v>
      </c>
      <c r="B588" s="99" t="s">
        <v>374</v>
      </c>
      <c r="C588" s="97">
        <v>10</v>
      </c>
      <c r="D588" s="99" t="s">
        <v>188</v>
      </c>
      <c r="E588" s="97" t="s">
        <v>190</v>
      </c>
      <c r="F588" s="97"/>
      <c r="G588" s="133">
        <f>G589</f>
        <v>340</v>
      </c>
      <c r="H588" s="166"/>
    </row>
    <row r="589" spans="1:14" x14ac:dyDescent="0.2">
      <c r="A589" s="100" t="s">
        <v>226</v>
      </c>
      <c r="B589" s="104" t="s">
        <v>374</v>
      </c>
      <c r="C589" s="102">
        <v>10</v>
      </c>
      <c r="D589" s="104" t="s">
        <v>188</v>
      </c>
      <c r="E589" s="102" t="s">
        <v>227</v>
      </c>
      <c r="F589" s="102"/>
      <c r="G589" s="134">
        <f>G590</f>
        <v>340</v>
      </c>
      <c r="H589" s="166"/>
    </row>
    <row r="590" spans="1:14" ht="22.5" x14ac:dyDescent="0.2">
      <c r="A590" s="83" t="s">
        <v>237</v>
      </c>
      <c r="B590" s="87" t="s">
        <v>374</v>
      </c>
      <c r="C590" s="84">
        <v>10</v>
      </c>
      <c r="D590" s="87" t="s">
        <v>188</v>
      </c>
      <c r="E590" s="84" t="s">
        <v>238</v>
      </c>
      <c r="F590" s="84"/>
      <c r="G590" s="135">
        <f>G591+G594</f>
        <v>340</v>
      </c>
      <c r="H590" s="166"/>
    </row>
    <row r="591" spans="1:14" x14ac:dyDescent="0.2">
      <c r="A591" s="83" t="s">
        <v>650</v>
      </c>
      <c r="B591" s="87" t="s">
        <v>374</v>
      </c>
      <c r="C591" s="84">
        <v>10</v>
      </c>
      <c r="D591" s="87" t="s">
        <v>188</v>
      </c>
      <c r="E591" s="84" t="s">
        <v>238</v>
      </c>
      <c r="F591" s="84" t="s">
        <v>150</v>
      </c>
      <c r="G591" s="135">
        <f>G592</f>
        <v>302</v>
      </c>
      <c r="H591" s="166"/>
    </row>
    <row r="592" spans="1:14" ht="22.5" x14ac:dyDescent="0.2">
      <c r="A592" s="83" t="s">
        <v>151</v>
      </c>
      <c r="B592" s="105" t="s">
        <v>374</v>
      </c>
      <c r="C592" s="84">
        <v>10</v>
      </c>
      <c r="D592" s="87" t="s">
        <v>188</v>
      </c>
      <c r="E592" s="84" t="s">
        <v>238</v>
      </c>
      <c r="F592" s="84" t="s">
        <v>152</v>
      </c>
      <c r="G592" s="135">
        <f>G593</f>
        <v>302</v>
      </c>
      <c r="H592" s="166"/>
    </row>
    <row r="593" spans="1:14" ht="22.5" x14ac:dyDescent="0.2">
      <c r="A593" s="115" t="s">
        <v>153</v>
      </c>
      <c r="B593" s="87" t="s">
        <v>374</v>
      </c>
      <c r="C593" s="84">
        <v>10</v>
      </c>
      <c r="D593" s="87" t="s">
        <v>188</v>
      </c>
      <c r="E593" s="84" t="s">
        <v>238</v>
      </c>
      <c r="F593" s="84" t="s">
        <v>154</v>
      </c>
      <c r="G593" s="144">
        <v>302</v>
      </c>
      <c r="H593" s="166"/>
    </row>
    <row r="594" spans="1:14" x14ac:dyDescent="0.2">
      <c r="A594" s="75" t="s">
        <v>197</v>
      </c>
      <c r="B594" s="87" t="s">
        <v>374</v>
      </c>
      <c r="C594" s="84">
        <v>10</v>
      </c>
      <c r="D594" s="87" t="s">
        <v>188</v>
      </c>
      <c r="E594" s="84" t="s">
        <v>238</v>
      </c>
      <c r="F594" s="84">
        <v>300</v>
      </c>
      <c r="G594" s="144">
        <f>G595+G597</f>
        <v>38</v>
      </c>
      <c r="H594" s="166"/>
    </row>
    <row r="595" spans="1:14" ht="33.75" x14ac:dyDescent="0.2">
      <c r="A595" s="83" t="s">
        <v>572</v>
      </c>
      <c r="B595" s="87" t="s">
        <v>374</v>
      </c>
      <c r="C595" s="84">
        <v>10</v>
      </c>
      <c r="D595" s="87" t="s">
        <v>188</v>
      </c>
      <c r="E595" s="84" t="s">
        <v>238</v>
      </c>
      <c r="F595" s="84">
        <v>320</v>
      </c>
      <c r="G595" s="144">
        <f>G596</f>
        <v>30</v>
      </c>
      <c r="H595" s="166"/>
    </row>
    <row r="596" spans="1:14" ht="22.5" x14ac:dyDescent="0.2">
      <c r="A596" s="115" t="s">
        <v>651</v>
      </c>
      <c r="B596" s="105" t="s">
        <v>374</v>
      </c>
      <c r="C596" s="84">
        <v>10</v>
      </c>
      <c r="D596" s="87" t="s">
        <v>188</v>
      </c>
      <c r="E596" s="84" t="s">
        <v>238</v>
      </c>
      <c r="F596" s="84">
        <v>321</v>
      </c>
      <c r="G596" s="144">
        <v>30</v>
      </c>
      <c r="H596" s="166"/>
    </row>
    <row r="597" spans="1:14" x14ac:dyDescent="0.2">
      <c r="A597" s="115" t="s">
        <v>573</v>
      </c>
      <c r="B597" s="87" t="s">
        <v>374</v>
      </c>
      <c r="C597" s="84">
        <v>10</v>
      </c>
      <c r="D597" s="87" t="s">
        <v>188</v>
      </c>
      <c r="E597" s="84" t="s">
        <v>238</v>
      </c>
      <c r="F597" s="84">
        <v>340</v>
      </c>
      <c r="G597" s="144">
        <v>8</v>
      </c>
      <c r="H597" s="166"/>
    </row>
    <row r="598" spans="1:14" ht="21" x14ac:dyDescent="0.2">
      <c r="A598" s="116" t="s">
        <v>465</v>
      </c>
      <c r="B598" s="99" t="s">
        <v>374</v>
      </c>
      <c r="C598" s="97">
        <v>10</v>
      </c>
      <c r="D598" s="99" t="s">
        <v>188</v>
      </c>
      <c r="E598" s="97" t="s">
        <v>466</v>
      </c>
      <c r="F598" s="97"/>
      <c r="G598" s="145">
        <f>G599</f>
        <v>1000</v>
      </c>
      <c r="H598" s="166"/>
    </row>
    <row r="599" spans="1:14" x14ac:dyDescent="0.2">
      <c r="A599" s="117" t="s">
        <v>467</v>
      </c>
      <c r="B599" s="104" t="s">
        <v>374</v>
      </c>
      <c r="C599" s="102">
        <v>10</v>
      </c>
      <c r="D599" s="104" t="s">
        <v>188</v>
      </c>
      <c r="E599" s="102" t="s">
        <v>468</v>
      </c>
      <c r="F599" s="102"/>
      <c r="G599" s="146">
        <f>G600</f>
        <v>1000</v>
      </c>
      <c r="H599" s="166"/>
    </row>
    <row r="600" spans="1:14" x14ac:dyDescent="0.2">
      <c r="A600" s="75" t="s">
        <v>197</v>
      </c>
      <c r="B600" s="87" t="s">
        <v>374</v>
      </c>
      <c r="C600" s="84">
        <v>10</v>
      </c>
      <c r="D600" s="87" t="s">
        <v>188</v>
      </c>
      <c r="E600" s="84" t="s">
        <v>468</v>
      </c>
      <c r="F600" s="84">
        <v>300</v>
      </c>
      <c r="G600" s="144">
        <f>G601</f>
        <v>1000</v>
      </c>
      <c r="H600" s="166"/>
    </row>
    <row r="601" spans="1:14" ht="33.75" x14ac:dyDescent="0.2">
      <c r="A601" s="83" t="s">
        <v>572</v>
      </c>
      <c r="B601" s="87" t="s">
        <v>374</v>
      </c>
      <c r="C601" s="84">
        <v>10</v>
      </c>
      <c r="D601" s="87" t="s">
        <v>188</v>
      </c>
      <c r="E601" s="84" t="s">
        <v>468</v>
      </c>
      <c r="F601" s="84">
        <v>320</v>
      </c>
      <c r="G601" s="144">
        <f>G602</f>
        <v>1000</v>
      </c>
      <c r="H601" s="166"/>
    </row>
    <row r="602" spans="1:14" x14ac:dyDescent="0.2">
      <c r="A602" s="115" t="s">
        <v>469</v>
      </c>
      <c r="B602" s="87" t="s">
        <v>374</v>
      </c>
      <c r="C602" s="84">
        <v>10</v>
      </c>
      <c r="D602" s="87" t="s">
        <v>188</v>
      </c>
      <c r="E602" s="84" t="s">
        <v>468</v>
      </c>
      <c r="F602" s="84">
        <v>322</v>
      </c>
      <c r="G602" s="144">
        <v>1000</v>
      </c>
      <c r="H602" s="166"/>
    </row>
    <row r="603" spans="1:14" x14ac:dyDescent="0.2">
      <c r="A603" s="98" t="s">
        <v>470</v>
      </c>
      <c r="B603" s="99" t="s">
        <v>374</v>
      </c>
      <c r="C603" s="97" t="s">
        <v>471</v>
      </c>
      <c r="D603" s="99" t="s">
        <v>182</v>
      </c>
      <c r="E603" s="97" t="s">
        <v>183</v>
      </c>
      <c r="F603" s="97" t="s">
        <v>184</v>
      </c>
      <c r="G603" s="145">
        <f t="shared" ref="G603:G608" si="5">G604</f>
        <v>300</v>
      </c>
      <c r="H603" s="166"/>
      <c r="I603" s="148"/>
      <c r="N603" s="229"/>
    </row>
    <row r="604" spans="1:14" x14ac:dyDescent="0.2">
      <c r="A604" s="98" t="s">
        <v>472</v>
      </c>
      <c r="B604" s="106" t="s">
        <v>374</v>
      </c>
      <c r="C604" s="97" t="s">
        <v>471</v>
      </c>
      <c r="D604" s="99" t="s">
        <v>286</v>
      </c>
      <c r="E604" s="97" t="s">
        <v>183</v>
      </c>
      <c r="F604" s="97" t="s">
        <v>184</v>
      </c>
      <c r="G604" s="145">
        <f t="shared" si="5"/>
        <v>300</v>
      </c>
      <c r="H604" s="173"/>
    </row>
    <row r="605" spans="1:14" ht="31.5" x14ac:dyDescent="0.2">
      <c r="A605" s="98" t="s">
        <v>473</v>
      </c>
      <c r="B605" s="99" t="s">
        <v>374</v>
      </c>
      <c r="C605" s="97" t="s">
        <v>471</v>
      </c>
      <c r="D605" s="99" t="s">
        <v>286</v>
      </c>
      <c r="E605" s="97" t="s">
        <v>474</v>
      </c>
      <c r="F605" s="97"/>
      <c r="G605" s="145">
        <f t="shared" si="5"/>
        <v>300</v>
      </c>
      <c r="H605" s="173"/>
    </row>
    <row r="606" spans="1:14" ht="22.5" x14ac:dyDescent="0.2">
      <c r="A606" s="100" t="s">
        <v>475</v>
      </c>
      <c r="B606" s="104" t="s">
        <v>374</v>
      </c>
      <c r="C606" s="102" t="s">
        <v>471</v>
      </c>
      <c r="D606" s="104" t="s">
        <v>286</v>
      </c>
      <c r="E606" s="102" t="s">
        <v>476</v>
      </c>
      <c r="F606" s="102"/>
      <c r="G606" s="146">
        <f t="shared" si="5"/>
        <v>300</v>
      </c>
      <c r="H606" s="173"/>
    </row>
    <row r="607" spans="1:14" x14ac:dyDescent="0.2">
      <c r="A607" s="83" t="s">
        <v>650</v>
      </c>
      <c r="B607" s="87" t="s">
        <v>374</v>
      </c>
      <c r="C607" s="84" t="s">
        <v>471</v>
      </c>
      <c r="D607" s="87" t="s">
        <v>286</v>
      </c>
      <c r="E607" s="84" t="s">
        <v>476</v>
      </c>
      <c r="F607" s="84">
        <v>200</v>
      </c>
      <c r="G607" s="144">
        <f t="shared" si="5"/>
        <v>300</v>
      </c>
      <c r="H607" s="166"/>
    </row>
    <row r="608" spans="1:14" ht="22.5" x14ac:dyDescent="0.2">
      <c r="A608" s="83" t="s">
        <v>151</v>
      </c>
      <c r="B608" s="105" t="s">
        <v>374</v>
      </c>
      <c r="C608" s="84" t="s">
        <v>471</v>
      </c>
      <c r="D608" s="87" t="s">
        <v>286</v>
      </c>
      <c r="E608" s="84" t="s">
        <v>476</v>
      </c>
      <c r="F608" s="84">
        <v>240</v>
      </c>
      <c r="G608" s="144">
        <f t="shared" si="5"/>
        <v>300</v>
      </c>
      <c r="H608" s="166"/>
    </row>
    <row r="609" spans="1:13" ht="22.5" x14ac:dyDescent="0.2">
      <c r="A609" s="115" t="s">
        <v>153</v>
      </c>
      <c r="B609" s="87" t="s">
        <v>374</v>
      </c>
      <c r="C609" s="84" t="s">
        <v>471</v>
      </c>
      <c r="D609" s="87" t="s">
        <v>286</v>
      </c>
      <c r="E609" s="84" t="s">
        <v>476</v>
      </c>
      <c r="F609" s="84">
        <v>244</v>
      </c>
      <c r="G609" s="144">
        <v>300</v>
      </c>
      <c r="H609" s="166"/>
    </row>
    <row r="610" spans="1:13" x14ac:dyDescent="0.2">
      <c r="A610" s="98" t="s">
        <v>477</v>
      </c>
      <c r="B610" s="99" t="s">
        <v>374</v>
      </c>
      <c r="C610" s="97">
        <v>12</v>
      </c>
      <c r="D610" s="99"/>
      <c r="E610" s="97"/>
      <c r="F610" s="97"/>
      <c r="G610" s="145">
        <f t="shared" ref="G610:G615" si="6">G611</f>
        <v>100</v>
      </c>
      <c r="H610" s="166"/>
      <c r="I610" s="148"/>
      <c r="M610" s="148"/>
    </row>
    <row r="611" spans="1:13" x14ac:dyDescent="0.2">
      <c r="A611" s="98" t="s">
        <v>478</v>
      </c>
      <c r="B611" s="99" t="s">
        <v>374</v>
      </c>
      <c r="C611" s="97">
        <v>12</v>
      </c>
      <c r="D611" s="99" t="s">
        <v>254</v>
      </c>
      <c r="E611" s="97"/>
      <c r="F611" s="97"/>
      <c r="G611" s="145">
        <f t="shared" si="6"/>
        <v>100</v>
      </c>
      <c r="H611" s="166"/>
    </row>
    <row r="612" spans="1:13" ht="31.5" x14ac:dyDescent="0.2">
      <c r="A612" s="98" t="s">
        <v>479</v>
      </c>
      <c r="B612" s="99" t="s">
        <v>374</v>
      </c>
      <c r="C612" s="97">
        <v>12</v>
      </c>
      <c r="D612" s="99" t="s">
        <v>254</v>
      </c>
      <c r="E612" s="97" t="s">
        <v>480</v>
      </c>
      <c r="F612" s="97"/>
      <c r="G612" s="145">
        <f t="shared" si="6"/>
        <v>100</v>
      </c>
      <c r="H612" s="173"/>
    </row>
    <row r="613" spans="1:13" x14ac:dyDescent="0.2">
      <c r="A613" s="100" t="s">
        <v>481</v>
      </c>
      <c r="B613" s="104" t="s">
        <v>374</v>
      </c>
      <c r="C613" s="102">
        <v>12</v>
      </c>
      <c r="D613" s="104" t="s">
        <v>254</v>
      </c>
      <c r="E613" s="102" t="s">
        <v>482</v>
      </c>
      <c r="F613" s="102"/>
      <c r="G613" s="146">
        <f t="shared" si="6"/>
        <v>100</v>
      </c>
      <c r="H613" s="173"/>
    </row>
    <row r="614" spans="1:13" x14ac:dyDescent="0.2">
      <c r="A614" s="83" t="s">
        <v>650</v>
      </c>
      <c r="B614" s="87" t="s">
        <v>374</v>
      </c>
      <c r="C614" s="84">
        <v>12</v>
      </c>
      <c r="D614" s="87" t="s">
        <v>254</v>
      </c>
      <c r="E614" s="84" t="s">
        <v>482</v>
      </c>
      <c r="F614" s="84">
        <v>200</v>
      </c>
      <c r="G614" s="144">
        <f t="shared" si="6"/>
        <v>100</v>
      </c>
      <c r="H614" s="173"/>
    </row>
    <row r="615" spans="1:13" ht="22.5" x14ac:dyDescent="0.2">
      <c r="A615" s="83" t="s">
        <v>151</v>
      </c>
      <c r="B615" s="87" t="s">
        <v>374</v>
      </c>
      <c r="C615" s="84">
        <v>12</v>
      </c>
      <c r="D615" s="87" t="s">
        <v>254</v>
      </c>
      <c r="E615" s="84" t="s">
        <v>482</v>
      </c>
      <c r="F615" s="84">
        <v>240</v>
      </c>
      <c r="G615" s="144">
        <f t="shared" si="6"/>
        <v>100</v>
      </c>
      <c r="H615" s="173"/>
    </row>
    <row r="616" spans="1:13" ht="22.5" x14ac:dyDescent="0.2">
      <c r="A616" s="115" t="s">
        <v>153</v>
      </c>
      <c r="B616" s="87" t="s">
        <v>374</v>
      </c>
      <c r="C616" s="84">
        <v>12</v>
      </c>
      <c r="D616" s="87" t="s">
        <v>254</v>
      </c>
      <c r="E616" s="84" t="s">
        <v>482</v>
      </c>
      <c r="F616" s="84">
        <v>244</v>
      </c>
      <c r="G616" s="144">
        <v>100</v>
      </c>
      <c r="H616" s="173"/>
    </row>
    <row r="617" spans="1:13" ht="21" x14ac:dyDescent="0.2">
      <c r="A617" s="112" t="s">
        <v>483</v>
      </c>
      <c r="B617" s="110" t="s">
        <v>484</v>
      </c>
      <c r="C617" s="109"/>
      <c r="D617" s="110"/>
      <c r="E617" s="110"/>
      <c r="F617" s="109"/>
      <c r="G617" s="132">
        <f>G618</f>
        <v>1722.4</v>
      </c>
      <c r="H617" s="235"/>
      <c r="I617" s="233"/>
    </row>
    <row r="618" spans="1:13" x14ac:dyDescent="0.2">
      <c r="A618" s="98" t="s">
        <v>485</v>
      </c>
      <c r="B618" s="99" t="s">
        <v>484</v>
      </c>
      <c r="C618" s="97" t="s">
        <v>122</v>
      </c>
      <c r="D618" s="99" t="s">
        <v>182</v>
      </c>
      <c r="E618" s="97" t="s">
        <v>183</v>
      </c>
      <c r="F618" s="97" t="s">
        <v>184</v>
      </c>
      <c r="G618" s="133">
        <f>G619+G626</f>
        <v>1722.4</v>
      </c>
      <c r="H618" s="173"/>
      <c r="I618" s="148"/>
    </row>
    <row r="619" spans="1:13" ht="21" x14ac:dyDescent="0.2">
      <c r="A619" s="98" t="s">
        <v>486</v>
      </c>
      <c r="B619" s="99" t="s">
        <v>484</v>
      </c>
      <c r="C619" s="97" t="s">
        <v>122</v>
      </c>
      <c r="D619" s="99" t="s">
        <v>254</v>
      </c>
      <c r="E619" s="97" t="s">
        <v>183</v>
      </c>
      <c r="F619" s="97" t="s">
        <v>184</v>
      </c>
      <c r="G619" s="133">
        <f>G620</f>
        <v>920.80000000000007</v>
      </c>
      <c r="H619" s="173"/>
      <c r="I619" s="148"/>
    </row>
    <row r="620" spans="1:13" x14ac:dyDescent="0.2">
      <c r="A620" s="100" t="s">
        <v>487</v>
      </c>
      <c r="B620" s="104" t="s">
        <v>484</v>
      </c>
      <c r="C620" s="102" t="s">
        <v>122</v>
      </c>
      <c r="D620" s="104" t="s">
        <v>254</v>
      </c>
      <c r="E620" s="102" t="s">
        <v>488</v>
      </c>
      <c r="F620" s="102" t="s">
        <v>184</v>
      </c>
      <c r="G620" s="134">
        <f>G621</f>
        <v>920.80000000000007</v>
      </c>
      <c r="H620" s="173"/>
    </row>
    <row r="621" spans="1:13" ht="22.5" x14ac:dyDescent="0.2">
      <c r="A621" s="114" t="s">
        <v>230</v>
      </c>
      <c r="B621" s="87" t="s">
        <v>484</v>
      </c>
      <c r="C621" s="84" t="s">
        <v>122</v>
      </c>
      <c r="D621" s="87" t="s">
        <v>254</v>
      </c>
      <c r="E621" s="84" t="s">
        <v>489</v>
      </c>
      <c r="F621" s="84"/>
      <c r="G621" s="135">
        <f>G622</f>
        <v>920.80000000000007</v>
      </c>
      <c r="H621" s="173"/>
    </row>
    <row r="622" spans="1:13" ht="33.75" x14ac:dyDescent="0.2">
      <c r="A622" s="83" t="s">
        <v>139</v>
      </c>
      <c r="B622" s="87" t="s">
        <v>484</v>
      </c>
      <c r="C622" s="84" t="s">
        <v>122</v>
      </c>
      <c r="D622" s="87" t="s">
        <v>254</v>
      </c>
      <c r="E622" s="84" t="s">
        <v>489</v>
      </c>
      <c r="F622" s="84" t="s">
        <v>140</v>
      </c>
      <c r="G622" s="135">
        <f>G623</f>
        <v>920.80000000000007</v>
      </c>
      <c r="H622" s="166"/>
    </row>
    <row r="623" spans="1:13" x14ac:dyDescent="0.2">
      <c r="A623" s="83" t="s">
        <v>168</v>
      </c>
      <c r="B623" s="87" t="s">
        <v>484</v>
      </c>
      <c r="C623" s="84" t="s">
        <v>122</v>
      </c>
      <c r="D623" s="87" t="s">
        <v>254</v>
      </c>
      <c r="E623" s="84" t="s">
        <v>489</v>
      </c>
      <c r="F623" s="84" t="s">
        <v>232</v>
      </c>
      <c r="G623" s="135">
        <f>G624+G625</f>
        <v>920.80000000000007</v>
      </c>
      <c r="H623" s="173"/>
    </row>
    <row r="624" spans="1:13" x14ac:dyDescent="0.2">
      <c r="A624" s="114" t="s">
        <v>169</v>
      </c>
      <c r="B624" s="87" t="s">
        <v>484</v>
      </c>
      <c r="C624" s="84" t="s">
        <v>122</v>
      </c>
      <c r="D624" s="87" t="s">
        <v>254</v>
      </c>
      <c r="E624" s="84" t="s">
        <v>489</v>
      </c>
      <c r="F624" s="84" t="s">
        <v>233</v>
      </c>
      <c r="G624" s="135">
        <v>707.2</v>
      </c>
      <c r="H624" s="173"/>
    </row>
    <row r="625" spans="1:13" ht="33.75" x14ac:dyDescent="0.2">
      <c r="A625" s="114" t="s">
        <v>170</v>
      </c>
      <c r="B625" s="87" t="s">
        <v>484</v>
      </c>
      <c r="C625" s="84" t="s">
        <v>122</v>
      </c>
      <c r="D625" s="87" t="s">
        <v>254</v>
      </c>
      <c r="E625" s="84" t="s">
        <v>489</v>
      </c>
      <c r="F625" s="84">
        <v>129</v>
      </c>
      <c r="G625" s="135">
        <v>213.6</v>
      </c>
      <c r="H625" s="173"/>
    </row>
    <row r="626" spans="1:13" ht="31.5" x14ac:dyDescent="0.2">
      <c r="A626" s="98" t="s">
        <v>490</v>
      </c>
      <c r="B626" s="99" t="s">
        <v>484</v>
      </c>
      <c r="C626" s="97" t="s">
        <v>122</v>
      </c>
      <c r="D626" s="99" t="s">
        <v>188</v>
      </c>
      <c r="E626" s="97" t="s">
        <v>183</v>
      </c>
      <c r="F626" s="97" t="s">
        <v>184</v>
      </c>
      <c r="G626" s="133">
        <f>G627</f>
        <v>801.59999999999991</v>
      </c>
      <c r="H626" s="173"/>
    </row>
    <row r="627" spans="1:13" ht="30" customHeight="1" x14ac:dyDescent="0.2">
      <c r="A627" s="100" t="s">
        <v>505</v>
      </c>
      <c r="B627" s="104" t="s">
        <v>484</v>
      </c>
      <c r="C627" s="102" t="s">
        <v>122</v>
      </c>
      <c r="D627" s="104" t="s">
        <v>188</v>
      </c>
      <c r="E627" s="102" t="s">
        <v>491</v>
      </c>
      <c r="F627" s="102" t="s">
        <v>184</v>
      </c>
      <c r="G627" s="134">
        <f>G628+G632+G635</f>
        <v>801.59999999999991</v>
      </c>
      <c r="H627" s="173"/>
    </row>
    <row r="628" spans="1:13" ht="19.5" customHeight="1" x14ac:dyDescent="0.2">
      <c r="A628" s="83" t="s">
        <v>139</v>
      </c>
      <c r="B628" s="87" t="s">
        <v>484</v>
      </c>
      <c r="C628" s="84">
        <v>1</v>
      </c>
      <c r="D628" s="87" t="s">
        <v>188</v>
      </c>
      <c r="E628" s="84" t="s">
        <v>492</v>
      </c>
      <c r="F628" s="84" t="s">
        <v>140</v>
      </c>
      <c r="G628" s="135">
        <f>G629</f>
        <v>701.59999999999991</v>
      </c>
      <c r="H628" s="173"/>
    </row>
    <row r="629" spans="1:13" ht="14.25" customHeight="1" x14ac:dyDescent="0.2">
      <c r="A629" s="83" t="s">
        <v>168</v>
      </c>
      <c r="B629" s="87" t="s">
        <v>484</v>
      </c>
      <c r="C629" s="84" t="s">
        <v>122</v>
      </c>
      <c r="D629" s="87" t="s">
        <v>188</v>
      </c>
      <c r="E629" s="84" t="s">
        <v>492</v>
      </c>
      <c r="F629" s="84" t="s">
        <v>232</v>
      </c>
      <c r="G629" s="135">
        <f>G630+G631</f>
        <v>701.59999999999991</v>
      </c>
      <c r="H629" s="173"/>
    </row>
    <row r="630" spans="1:13" x14ac:dyDescent="0.2">
      <c r="A630" s="114" t="s">
        <v>169</v>
      </c>
      <c r="B630" s="87" t="s">
        <v>484</v>
      </c>
      <c r="C630" s="84" t="s">
        <v>122</v>
      </c>
      <c r="D630" s="87" t="s">
        <v>188</v>
      </c>
      <c r="E630" s="84" t="s">
        <v>492</v>
      </c>
      <c r="F630" s="84" t="s">
        <v>233</v>
      </c>
      <c r="G630" s="135">
        <v>538.9</v>
      </c>
      <c r="H630" s="173"/>
    </row>
    <row r="631" spans="1:13" ht="33.75" x14ac:dyDescent="0.2">
      <c r="A631" s="114" t="s">
        <v>170</v>
      </c>
      <c r="B631" s="87" t="s">
        <v>484</v>
      </c>
      <c r="C631" s="84" t="s">
        <v>122</v>
      </c>
      <c r="D631" s="87" t="s">
        <v>188</v>
      </c>
      <c r="E631" s="84" t="s">
        <v>492</v>
      </c>
      <c r="F631" s="84">
        <v>129</v>
      </c>
      <c r="G631" s="135">
        <v>162.69999999999999</v>
      </c>
      <c r="H631" s="173"/>
    </row>
    <row r="632" spans="1:13" ht="33.75" x14ac:dyDescent="0.2">
      <c r="A632" s="83" t="s">
        <v>139</v>
      </c>
      <c r="B632" s="87" t="s">
        <v>484</v>
      </c>
      <c r="C632" s="84" t="s">
        <v>122</v>
      </c>
      <c r="D632" s="87" t="s">
        <v>188</v>
      </c>
      <c r="E632" s="84" t="s">
        <v>493</v>
      </c>
      <c r="F632" s="84">
        <v>100</v>
      </c>
      <c r="G632" s="135">
        <f>G633</f>
        <v>18.399999999999999</v>
      </c>
      <c r="H632" s="166"/>
    </row>
    <row r="633" spans="1:13" s="59" customFormat="1" ht="11.25" x14ac:dyDescent="0.2">
      <c r="A633" s="83" t="s">
        <v>168</v>
      </c>
      <c r="B633" s="87" t="s">
        <v>484</v>
      </c>
      <c r="C633" s="84" t="s">
        <v>122</v>
      </c>
      <c r="D633" s="87" t="s">
        <v>188</v>
      </c>
      <c r="E633" s="84" t="s">
        <v>493</v>
      </c>
      <c r="F633" s="84">
        <v>120</v>
      </c>
      <c r="G633" s="135">
        <f>G634</f>
        <v>18.399999999999999</v>
      </c>
      <c r="H633" s="166"/>
      <c r="I633" s="157"/>
      <c r="J633" s="89"/>
      <c r="K633" s="89"/>
      <c r="L633" s="89"/>
      <c r="M633" s="89"/>
    </row>
    <row r="634" spans="1:13" ht="22.5" x14ac:dyDescent="0.2">
      <c r="A634" s="69" t="s">
        <v>293</v>
      </c>
      <c r="B634" s="87" t="s">
        <v>484</v>
      </c>
      <c r="C634" s="84" t="s">
        <v>122</v>
      </c>
      <c r="D634" s="87" t="s">
        <v>188</v>
      </c>
      <c r="E634" s="84" t="s">
        <v>493</v>
      </c>
      <c r="F634" s="84" t="s">
        <v>295</v>
      </c>
      <c r="G634" s="135">
        <v>18.399999999999999</v>
      </c>
      <c r="H634" s="166"/>
    </row>
    <row r="635" spans="1:13" x14ac:dyDescent="0.2">
      <c r="A635" s="83" t="s">
        <v>650</v>
      </c>
      <c r="B635" s="87" t="s">
        <v>484</v>
      </c>
      <c r="C635" s="84" t="s">
        <v>122</v>
      </c>
      <c r="D635" s="87" t="s">
        <v>188</v>
      </c>
      <c r="E635" s="84" t="s">
        <v>493</v>
      </c>
      <c r="F635" s="84">
        <v>200</v>
      </c>
      <c r="G635" s="135">
        <f>G636</f>
        <v>81.599999999999994</v>
      </c>
      <c r="H635" s="166"/>
    </row>
    <row r="636" spans="1:13" ht="22.5" x14ac:dyDescent="0.2">
      <c r="A636" s="83" t="s">
        <v>151</v>
      </c>
      <c r="B636" s="87" t="s">
        <v>484</v>
      </c>
      <c r="C636" s="84" t="s">
        <v>122</v>
      </c>
      <c r="D636" s="87" t="s">
        <v>188</v>
      </c>
      <c r="E636" s="84" t="s">
        <v>493</v>
      </c>
      <c r="F636" s="84">
        <v>240</v>
      </c>
      <c r="G636" s="135">
        <f>G638+G637</f>
        <v>81.599999999999994</v>
      </c>
      <c r="H636" s="166"/>
    </row>
    <row r="637" spans="1:13" ht="22.5" x14ac:dyDescent="0.2">
      <c r="A637" s="115" t="s">
        <v>171</v>
      </c>
      <c r="B637" s="87" t="s">
        <v>484</v>
      </c>
      <c r="C637" s="84" t="s">
        <v>122</v>
      </c>
      <c r="D637" s="87" t="s">
        <v>188</v>
      </c>
      <c r="E637" s="84" t="s">
        <v>493</v>
      </c>
      <c r="F637" s="84">
        <v>242</v>
      </c>
      <c r="G637" s="135">
        <v>24.8</v>
      </c>
      <c r="H637" s="166"/>
    </row>
    <row r="638" spans="1:13" ht="22.5" x14ac:dyDescent="0.2">
      <c r="A638" s="115" t="s">
        <v>153</v>
      </c>
      <c r="B638" s="87" t="s">
        <v>484</v>
      </c>
      <c r="C638" s="84" t="s">
        <v>122</v>
      </c>
      <c r="D638" s="87" t="s">
        <v>188</v>
      </c>
      <c r="E638" s="84" t="s">
        <v>493</v>
      </c>
      <c r="F638" s="84" t="s">
        <v>154</v>
      </c>
      <c r="G638" s="135">
        <v>56.8</v>
      </c>
      <c r="H638" s="166"/>
    </row>
    <row r="639" spans="1:13" ht="21" x14ac:dyDescent="0.2">
      <c r="A639" s="112" t="s">
        <v>494</v>
      </c>
      <c r="B639" s="108" t="s">
        <v>495</v>
      </c>
      <c r="C639" s="109"/>
      <c r="D639" s="110"/>
      <c r="E639" s="109"/>
      <c r="F639" s="109"/>
      <c r="G639" s="147">
        <f>G640</f>
        <v>1507.3000000000002</v>
      </c>
      <c r="H639" s="231"/>
      <c r="I639" s="233"/>
    </row>
    <row r="640" spans="1:13" x14ac:dyDescent="0.2">
      <c r="A640" s="98" t="s">
        <v>485</v>
      </c>
      <c r="B640" s="99" t="s">
        <v>495</v>
      </c>
      <c r="C640" s="97" t="s">
        <v>122</v>
      </c>
      <c r="D640" s="99"/>
      <c r="E640" s="97"/>
      <c r="F640" s="97"/>
      <c r="G640" s="145">
        <f>G641</f>
        <v>1507.3000000000002</v>
      </c>
      <c r="H640" s="171"/>
      <c r="I640" s="210"/>
    </row>
    <row r="641" spans="1:9" ht="21" x14ac:dyDescent="0.2">
      <c r="A641" s="98" t="s">
        <v>323</v>
      </c>
      <c r="B641" s="106" t="s">
        <v>495</v>
      </c>
      <c r="C641" s="97" t="s">
        <v>122</v>
      </c>
      <c r="D641" s="99" t="s">
        <v>222</v>
      </c>
      <c r="E641" s="97" t="s">
        <v>183</v>
      </c>
      <c r="F641" s="97" t="s">
        <v>184</v>
      </c>
      <c r="G641" s="133">
        <f>G642</f>
        <v>1507.3000000000002</v>
      </c>
      <c r="H641" s="166"/>
    </row>
    <row r="642" spans="1:9" x14ac:dyDescent="0.2">
      <c r="A642" s="113" t="s">
        <v>496</v>
      </c>
      <c r="B642" s="111" t="s">
        <v>495</v>
      </c>
      <c r="C642" s="102" t="s">
        <v>122</v>
      </c>
      <c r="D642" s="104" t="s">
        <v>222</v>
      </c>
      <c r="E642" s="102" t="s">
        <v>497</v>
      </c>
      <c r="F642" s="102" t="s">
        <v>184</v>
      </c>
      <c r="G642" s="134">
        <f>G643+G647</f>
        <v>1507.3000000000002</v>
      </c>
      <c r="H642" s="166"/>
    </row>
    <row r="643" spans="1:9" ht="33.75" x14ac:dyDescent="0.2">
      <c r="A643" s="83" t="s">
        <v>139</v>
      </c>
      <c r="B643" s="105" t="s">
        <v>495</v>
      </c>
      <c r="C643" s="84" t="s">
        <v>122</v>
      </c>
      <c r="D643" s="87" t="s">
        <v>222</v>
      </c>
      <c r="E643" s="87" t="s">
        <v>498</v>
      </c>
      <c r="F643" s="84" t="s">
        <v>140</v>
      </c>
      <c r="G643" s="135">
        <f>G644</f>
        <v>1422.3000000000002</v>
      </c>
      <c r="H643" s="166"/>
    </row>
    <row r="644" spans="1:9" x14ac:dyDescent="0.2">
      <c r="A644" s="83" t="s">
        <v>168</v>
      </c>
      <c r="B644" s="105" t="s">
        <v>495</v>
      </c>
      <c r="C644" s="84" t="s">
        <v>122</v>
      </c>
      <c r="D644" s="87" t="s">
        <v>222</v>
      </c>
      <c r="E644" s="87" t="s">
        <v>498</v>
      </c>
      <c r="F644" s="84" t="s">
        <v>232</v>
      </c>
      <c r="G644" s="135">
        <f>G645+G646</f>
        <v>1422.3000000000002</v>
      </c>
      <c r="H644" s="166"/>
    </row>
    <row r="645" spans="1:9" x14ac:dyDescent="0.2">
      <c r="A645" s="114" t="s">
        <v>169</v>
      </c>
      <c r="B645" s="105" t="s">
        <v>495</v>
      </c>
      <c r="C645" s="84" t="s">
        <v>122</v>
      </c>
      <c r="D645" s="87" t="s">
        <v>222</v>
      </c>
      <c r="E645" s="87" t="s">
        <v>498</v>
      </c>
      <c r="F645" s="84" t="s">
        <v>233</v>
      </c>
      <c r="G645" s="135">
        <v>1092.4000000000001</v>
      </c>
      <c r="H645" s="166"/>
    </row>
    <row r="646" spans="1:9" ht="33.75" x14ac:dyDescent="0.2">
      <c r="A646" s="114" t="s">
        <v>170</v>
      </c>
      <c r="B646" s="105" t="s">
        <v>495</v>
      </c>
      <c r="C646" s="84" t="s">
        <v>122</v>
      </c>
      <c r="D646" s="87" t="s">
        <v>222</v>
      </c>
      <c r="E646" s="87" t="s">
        <v>498</v>
      </c>
      <c r="F646" s="84">
        <v>129</v>
      </c>
      <c r="G646" s="135">
        <v>329.9</v>
      </c>
      <c r="H646" s="166"/>
    </row>
    <row r="647" spans="1:9" ht="33.75" x14ac:dyDescent="0.2">
      <c r="A647" s="83" t="s">
        <v>139</v>
      </c>
      <c r="B647" s="105" t="s">
        <v>495</v>
      </c>
      <c r="C647" s="84" t="s">
        <v>122</v>
      </c>
      <c r="D647" s="87" t="s">
        <v>222</v>
      </c>
      <c r="E647" s="87" t="s">
        <v>500</v>
      </c>
      <c r="F647" s="84">
        <v>100</v>
      </c>
      <c r="G647" s="135">
        <f>G648+G650</f>
        <v>85</v>
      </c>
      <c r="H647" s="166"/>
    </row>
    <row r="648" spans="1:9" x14ac:dyDescent="0.2">
      <c r="A648" s="83" t="s">
        <v>168</v>
      </c>
      <c r="B648" s="105" t="s">
        <v>495</v>
      </c>
      <c r="C648" s="84" t="s">
        <v>122</v>
      </c>
      <c r="D648" s="87" t="s">
        <v>222</v>
      </c>
      <c r="E648" s="87" t="s">
        <v>500</v>
      </c>
      <c r="F648" s="84">
        <v>120</v>
      </c>
      <c r="G648" s="135">
        <f>G649</f>
        <v>12.8</v>
      </c>
      <c r="H648" s="166"/>
    </row>
    <row r="649" spans="1:9" ht="22.5" x14ac:dyDescent="0.2">
      <c r="A649" s="69" t="s">
        <v>293</v>
      </c>
      <c r="B649" s="105" t="s">
        <v>495</v>
      </c>
      <c r="C649" s="84" t="s">
        <v>122</v>
      </c>
      <c r="D649" s="87" t="s">
        <v>222</v>
      </c>
      <c r="E649" s="87" t="s">
        <v>500</v>
      </c>
      <c r="F649" s="84">
        <v>122</v>
      </c>
      <c r="G649" s="135">
        <v>12.8</v>
      </c>
      <c r="H649" s="166"/>
    </row>
    <row r="650" spans="1:9" x14ac:dyDescent="0.2">
      <c r="A650" s="83" t="s">
        <v>650</v>
      </c>
      <c r="B650" s="105" t="s">
        <v>495</v>
      </c>
      <c r="C650" s="84" t="s">
        <v>122</v>
      </c>
      <c r="D650" s="87" t="s">
        <v>222</v>
      </c>
      <c r="E650" s="87" t="s">
        <v>500</v>
      </c>
      <c r="F650" s="84" t="s">
        <v>150</v>
      </c>
      <c r="G650" s="135">
        <f>G651</f>
        <v>72.2</v>
      </c>
      <c r="H650" s="166"/>
    </row>
    <row r="651" spans="1:9" ht="22.5" x14ac:dyDescent="0.2">
      <c r="A651" s="115" t="s">
        <v>151</v>
      </c>
      <c r="B651" s="105" t="s">
        <v>495</v>
      </c>
      <c r="C651" s="84" t="s">
        <v>122</v>
      </c>
      <c r="D651" s="87" t="s">
        <v>222</v>
      </c>
      <c r="E651" s="87" t="s">
        <v>500</v>
      </c>
      <c r="F651" s="84" t="s">
        <v>152</v>
      </c>
      <c r="G651" s="135">
        <f>G653+G652</f>
        <v>72.2</v>
      </c>
      <c r="H651" s="166"/>
    </row>
    <row r="652" spans="1:9" ht="22.5" x14ac:dyDescent="0.2">
      <c r="A652" s="115" t="s">
        <v>171</v>
      </c>
      <c r="B652" s="105" t="s">
        <v>495</v>
      </c>
      <c r="C652" s="84" t="s">
        <v>122</v>
      </c>
      <c r="D652" s="87" t="s">
        <v>222</v>
      </c>
      <c r="E652" s="87" t="s">
        <v>500</v>
      </c>
      <c r="F652" s="84">
        <v>242</v>
      </c>
      <c r="G652" s="135">
        <v>43.2</v>
      </c>
      <c r="H652" s="166"/>
    </row>
    <row r="653" spans="1:9" ht="22.5" x14ac:dyDescent="0.2">
      <c r="A653" s="115" t="s">
        <v>153</v>
      </c>
      <c r="B653" s="105" t="s">
        <v>495</v>
      </c>
      <c r="C653" s="84" t="s">
        <v>122</v>
      </c>
      <c r="D653" s="87" t="s">
        <v>222</v>
      </c>
      <c r="E653" s="87" t="s">
        <v>500</v>
      </c>
      <c r="F653" s="84" t="s">
        <v>154</v>
      </c>
      <c r="G653" s="135">
        <v>29</v>
      </c>
      <c r="H653" s="166"/>
    </row>
    <row r="654" spans="1:9" x14ac:dyDescent="0.2">
      <c r="H654" s="173"/>
    </row>
    <row r="655" spans="1:9" x14ac:dyDescent="0.2">
      <c r="H655" s="166"/>
      <c r="I655" s="148"/>
    </row>
    <row r="656" spans="1:9" x14ac:dyDescent="0.2">
      <c r="H656" s="166"/>
      <c r="I656" s="148"/>
    </row>
    <row r="657" spans="1:13" x14ac:dyDescent="0.2">
      <c r="H657" s="166"/>
    </row>
    <row r="658" spans="1:13" x14ac:dyDescent="0.2">
      <c r="H658" s="166"/>
    </row>
    <row r="659" spans="1:13" s="59" customFormat="1" ht="11.25" x14ac:dyDescent="0.2">
      <c r="A659" s="55"/>
      <c r="B659" s="56"/>
      <c r="C659" s="60"/>
      <c r="D659" s="56"/>
      <c r="E659" s="60"/>
      <c r="F659" s="60"/>
      <c r="G659" s="53"/>
      <c r="H659" s="166"/>
      <c r="I659" s="89"/>
      <c r="J659" s="89"/>
      <c r="K659" s="89"/>
      <c r="L659" s="89"/>
      <c r="M659" s="89"/>
    </row>
    <row r="660" spans="1:13" s="59" customFormat="1" ht="11.25" x14ac:dyDescent="0.2">
      <c r="A660" s="55"/>
      <c r="B660" s="56"/>
      <c r="C660" s="60"/>
      <c r="D660" s="56"/>
      <c r="E660" s="60"/>
      <c r="F660" s="60"/>
      <c r="G660" s="53"/>
      <c r="H660" s="166"/>
      <c r="I660" s="89"/>
      <c r="J660" s="89"/>
      <c r="K660" s="89"/>
      <c r="L660" s="89"/>
      <c r="M660" s="89"/>
    </row>
    <row r="661" spans="1:13" s="59" customFormat="1" ht="11.25" x14ac:dyDescent="0.2">
      <c r="A661" s="55"/>
      <c r="B661" s="56"/>
      <c r="C661" s="60"/>
      <c r="D661" s="56"/>
      <c r="E661" s="60"/>
      <c r="F661" s="60"/>
      <c r="G661" s="53"/>
      <c r="H661" s="166"/>
      <c r="I661" s="159"/>
      <c r="J661" s="159"/>
      <c r="K661" s="89"/>
      <c r="L661" s="89"/>
      <c r="M661" s="89"/>
    </row>
    <row r="662" spans="1:13" x14ac:dyDescent="0.2">
      <c r="H662" s="166"/>
    </row>
    <row r="663" spans="1:13" x14ac:dyDescent="0.2">
      <c r="H663" s="166"/>
    </row>
    <row r="664" spans="1:13" x14ac:dyDescent="0.2">
      <c r="H664" s="166"/>
    </row>
    <row r="665" spans="1:13" x14ac:dyDescent="0.2">
      <c r="H665" s="166"/>
    </row>
    <row r="666" spans="1:13" s="59" customFormat="1" ht="11.25" x14ac:dyDescent="0.2">
      <c r="A666" s="55"/>
      <c r="B666" s="56"/>
      <c r="C666" s="60"/>
      <c r="D666" s="56"/>
      <c r="E666" s="60"/>
      <c r="F666" s="60"/>
      <c r="G666" s="53"/>
      <c r="H666" s="166"/>
      <c r="I666" s="89"/>
      <c r="J666" s="89"/>
      <c r="K666" s="89"/>
      <c r="L666" s="89"/>
      <c r="M666" s="89"/>
    </row>
    <row r="667" spans="1:13" s="59" customFormat="1" ht="11.25" x14ac:dyDescent="0.2">
      <c r="A667" s="55"/>
      <c r="B667" s="56"/>
      <c r="C667" s="60"/>
      <c r="D667" s="56"/>
      <c r="E667" s="60"/>
      <c r="F667" s="60"/>
      <c r="G667" s="53"/>
      <c r="H667" s="166"/>
      <c r="I667" s="89"/>
      <c r="J667" s="89"/>
      <c r="K667" s="89"/>
      <c r="L667" s="89"/>
      <c r="M667" s="89"/>
    </row>
    <row r="668" spans="1:13" s="59" customFormat="1" ht="11.25" x14ac:dyDescent="0.2">
      <c r="A668" s="55"/>
      <c r="B668" s="56"/>
      <c r="C668" s="60"/>
      <c r="D668" s="56"/>
      <c r="E668" s="60"/>
      <c r="F668" s="60"/>
      <c r="G668" s="53"/>
      <c r="H668" s="166"/>
      <c r="I668" s="89"/>
      <c r="J668" s="89"/>
      <c r="K668" s="89"/>
      <c r="L668" s="89"/>
      <c r="M668" s="89"/>
    </row>
    <row r="669" spans="1:13" s="59" customFormat="1" ht="11.25" x14ac:dyDescent="0.2">
      <c r="A669" s="55"/>
      <c r="B669" s="56"/>
      <c r="C669" s="60"/>
      <c r="D669" s="56"/>
      <c r="E669" s="60"/>
      <c r="F669" s="60"/>
      <c r="G669" s="53"/>
      <c r="H669" s="166"/>
      <c r="I669" s="89"/>
      <c r="J669" s="89"/>
      <c r="K669" s="89"/>
      <c r="L669" s="89"/>
      <c r="M669" s="89"/>
    </row>
  </sheetData>
  <autoFilter ref="B13:F653"/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669"/>
  <sheetViews>
    <sheetView view="pageBreakPreview" zoomScale="85" zoomScaleNormal="100" zoomScaleSheetLayoutView="85" workbookViewId="0">
      <selection activeCell="I14" sqref="I14:J14"/>
    </sheetView>
  </sheetViews>
  <sheetFormatPr defaultRowHeight="12.75" x14ac:dyDescent="0.2"/>
  <cols>
    <col min="1" max="1" width="57.140625" style="55" customWidth="1"/>
    <col min="2" max="2" width="4.7109375" style="56" customWidth="1"/>
    <col min="3" max="3" width="5.28515625" style="60" customWidth="1"/>
    <col min="4" max="4" width="3.7109375" style="56" customWidth="1"/>
    <col min="5" max="5" width="13.5703125" style="60" customWidth="1"/>
    <col min="6" max="6" width="7.42578125" style="60" bestFit="1" customWidth="1"/>
    <col min="7" max="8" width="10.28515625" style="53" bestFit="1" customWidth="1"/>
    <col min="9" max="9" width="10.7109375" style="90" bestFit="1" customWidth="1"/>
    <col min="10" max="13" width="9.140625" style="90"/>
    <col min="14" max="256" width="9.140625" style="52"/>
    <col min="257" max="257" width="57.140625" style="52" customWidth="1"/>
    <col min="258" max="258" width="4.7109375" style="52" customWidth="1"/>
    <col min="259" max="259" width="5.28515625" style="52" customWidth="1"/>
    <col min="260" max="260" width="3.7109375" style="52" customWidth="1"/>
    <col min="261" max="261" width="13.5703125" style="52" customWidth="1"/>
    <col min="262" max="262" width="7.42578125" style="52" bestFit="1" customWidth="1"/>
    <col min="263" max="263" width="10.28515625" style="52" bestFit="1" customWidth="1"/>
    <col min="264" max="264" width="8.28515625" style="52" customWidth="1"/>
    <col min="265" max="265" width="9.42578125" style="52" bestFit="1" customWidth="1"/>
    <col min="266" max="512" width="9.140625" style="52"/>
    <col min="513" max="513" width="57.140625" style="52" customWidth="1"/>
    <col min="514" max="514" width="4.7109375" style="52" customWidth="1"/>
    <col min="515" max="515" width="5.28515625" style="52" customWidth="1"/>
    <col min="516" max="516" width="3.7109375" style="52" customWidth="1"/>
    <col min="517" max="517" width="13.5703125" style="52" customWidth="1"/>
    <col min="518" max="518" width="7.42578125" style="52" bestFit="1" customWidth="1"/>
    <col min="519" max="519" width="10.28515625" style="52" bestFit="1" customWidth="1"/>
    <col min="520" max="520" width="8.28515625" style="52" customWidth="1"/>
    <col min="521" max="521" width="9.42578125" style="52" bestFit="1" customWidth="1"/>
    <col min="522" max="768" width="9.140625" style="52"/>
    <col min="769" max="769" width="57.140625" style="52" customWidth="1"/>
    <col min="770" max="770" width="4.7109375" style="52" customWidth="1"/>
    <col min="771" max="771" width="5.28515625" style="52" customWidth="1"/>
    <col min="772" max="772" width="3.7109375" style="52" customWidth="1"/>
    <col min="773" max="773" width="13.5703125" style="52" customWidth="1"/>
    <col min="774" max="774" width="7.42578125" style="52" bestFit="1" customWidth="1"/>
    <col min="775" max="775" width="10.28515625" style="52" bestFit="1" customWidth="1"/>
    <col min="776" max="776" width="8.28515625" style="52" customWidth="1"/>
    <col min="777" max="777" width="9.42578125" style="52" bestFit="1" customWidth="1"/>
    <col min="778" max="1024" width="9.140625" style="52"/>
    <col min="1025" max="1025" width="57.140625" style="52" customWidth="1"/>
    <col min="1026" max="1026" width="4.7109375" style="52" customWidth="1"/>
    <col min="1027" max="1027" width="5.28515625" style="52" customWidth="1"/>
    <col min="1028" max="1028" width="3.7109375" style="52" customWidth="1"/>
    <col min="1029" max="1029" width="13.5703125" style="52" customWidth="1"/>
    <col min="1030" max="1030" width="7.42578125" style="52" bestFit="1" customWidth="1"/>
    <col min="1031" max="1031" width="10.28515625" style="52" bestFit="1" customWidth="1"/>
    <col min="1032" max="1032" width="8.28515625" style="52" customWidth="1"/>
    <col min="1033" max="1033" width="9.42578125" style="52" bestFit="1" customWidth="1"/>
    <col min="1034" max="1280" width="9.140625" style="52"/>
    <col min="1281" max="1281" width="57.140625" style="52" customWidth="1"/>
    <col min="1282" max="1282" width="4.7109375" style="52" customWidth="1"/>
    <col min="1283" max="1283" width="5.28515625" style="52" customWidth="1"/>
    <col min="1284" max="1284" width="3.7109375" style="52" customWidth="1"/>
    <col min="1285" max="1285" width="13.5703125" style="52" customWidth="1"/>
    <col min="1286" max="1286" width="7.42578125" style="52" bestFit="1" customWidth="1"/>
    <col min="1287" max="1287" width="10.28515625" style="52" bestFit="1" customWidth="1"/>
    <col min="1288" max="1288" width="8.28515625" style="52" customWidth="1"/>
    <col min="1289" max="1289" width="9.42578125" style="52" bestFit="1" customWidth="1"/>
    <col min="1290" max="1536" width="9.140625" style="52"/>
    <col min="1537" max="1537" width="57.140625" style="52" customWidth="1"/>
    <col min="1538" max="1538" width="4.7109375" style="52" customWidth="1"/>
    <col min="1539" max="1539" width="5.28515625" style="52" customWidth="1"/>
    <col min="1540" max="1540" width="3.7109375" style="52" customWidth="1"/>
    <col min="1541" max="1541" width="13.5703125" style="52" customWidth="1"/>
    <col min="1542" max="1542" width="7.42578125" style="52" bestFit="1" customWidth="1"/>
    <col min="1543" max="1543" width="10.28515625" style="52" bestFit="1" customWidth="1"/>
    <col min="1544" max="1544" width="8.28515625" style="52" customWidth="1"/>
    <col min="1545" max="1545" width="9.42578125" style="52" bestFit="1" customWidth="1"/>
    <col min="1546" max="1792" width="9.140625" style="52"/>
    <col min="1793" max="1793" width="57.140625" style="52" customWidth="1"/>
    <col min="1794" max="1794" width="4.7109375" style="52" customWidth="1"/>
    <col min="1795" max="1795" width="5.28515625" style="52" customWidth="1"/>
    <col min="1796" max="1796" width="3.7109375" style="52" customWidth="1"/>
    <col min="1797" max="1797" width="13.5703125" style="52" customWidth="1"/>
    <col min="1798" max="1798" width="7.42578125" style="52" bestFit="1" customWidth="1"/>
    <col min="1799" max="1799" width="10.28515625" style="52" bestFit="1" customWidth="1"/>
    <col min="1800" max="1800" width="8.28515625" style="52" customWidth="1"/>
    <col min="1801" max="1801" width="9.42578125" style="52" bestFit="1" customWidth="1"/>
    <col min="1802" max="2048" width="9.140625" style="52"/>
    <col min="2049" max="2049" width="57.140625" style="52" customWidth="1"/>
    <col min="2050" max="2050" width="4.7109375" style="52" customWidth="1"/>
    <col min="2051" max="2051" width="5.28515625" style="52" customWidth="1"/>
    <col min="2052" max="2052" width="3.7109375" style="52" customWidth="1"/>
    <col min="2053" max="2053" width="13.5703125" style="52" customWidth="1"/>
    <col min="2054" max="2054" width="7.42578125" style="52" bestFit="1" customWidth="1"/>
    <col min="2055" max="2055" width="10.28515625" style="52" bestFit="1" customWidth="1"/>
    <col min="2056" max="2056" width="8.28515625" style="52" customWidth="1"/>
    <col min="2057" max="2057" width="9.42578125" style="52" bestFit="1" customWidth="1"/>
    <col min="2058" max="2304" width="9.140625" style="52"/>
    <col min="2305" max="2305" width="57.140625" style="52" customWidth="1"/>
    <col min="2306" max="2306" width="4.7109375" style="52" customWidth="1"/>
    <col min="2307" max="2307" width="5.28515625" style="52" customWidth="1"/>
    <col min="2308" max="2308" width="3.7109375" style="52" customWidth="1"/>
    <col min="2309" max="2309" width="13.5703125" style="52" customWidth="1"/>
    <col min="2310" max="2310" width="7.42578125" style="52" bestFit="1" customWidth="1"/>
    <col min="2311" max="2311" width="10.28515625" style="52" bestFit="1" customWidth="1"/>
    <col min="2312" max="2312" width="8.28515625" style="52" customWidth="1"/>
    <col min="2313" max="2313" width="9.42578125" style="52" bestFit="1" customWidth="1"/>
    <col min="2314" max="2560" width="9.140625" style="52"/>
    <col min="2561" max="2561" width="57.140625" style="52" customWidth="1"/>
    <col min="2562" max="2562" width="4.7109375" style="52" customWidth="1"/>
    <col min="2563" max="2563" width="5.28515625" style="52" customWidth="1"/>
    <col min="2564" max="2564" width="3.7109375" style="52" customWidth="1"/>
    <col min="2565" max="2565" width="13.5703125" style="52" customWidth="1"/>
    <col min="2566" max="2566" width="7.42578125" style="52" bestFit="1" customWidth="1"/>
    <col min="2567" max="2567" width="10.28515625" style="52" bestFit="1" customWidth="1"/>
    <col min="2568" max="2568" width="8.28515625" style="52" customWidth="1"/>
    <col min="2569" max="2569" width="9.42578125" style="52" bestFit="1" customWidth="1"/>
    <col min="2570" max="2816" width="9.140625" style="52"/>
    <col min="2817" max="2817" width="57.140625" style="52" customWidth="1"/>
    <col min="2818" max="2818" width="4.7109375" style="52" customWidth="1"/>
    <col min="2819" max="2819" width="5.28515625" style="52" customWidth="1"/>
    <col min="2820" max="2820" width="3.7109375" style="52" customWidth="1"/>
    <col min="2821" max="2821" width="13.5703125" style="52" customWidth="1"/>
    <col min="2822" max="2822" width="7.42578125" style="52" bestFit="1" customWidth="1"/>
    <col min="2823" max="2823" width="10.28515625" style="52" bestFit="1" customWidth="1"/>
    <col min="2824" max="2824" width="8.28515625" style="52" customWidth="1"/>
    <col min="2825" max="2825" width="9.42578125" style="52" bestFit="1" customWidth="1"/>
    <col min="2826" max="3072" width="9.140625" style="52"/>
    <col min="3073" max="3073" width="57.140625" style="52" customWidth="1"/>
    <col min="3074" max="3074" width="4.7109375" style="52" customWidth="1"/>
    <col min="3075" max="3075" width="5.28515625" style="52" customWidth="1"/>
    <col min="3076" max="3076" width="3.7109375" style="52" customWidth="1"/>
    <col min="3077" max="3077" width="13.5703125" style="52" customWidth="1"/>
    <col min="3078" max="3078" width="7.42578125" style="52" bestFit="1" customWidth="1"/>
    <col min="3079" max="3079" width="10.28515625" style="52" bestFit="1" customWidth="1"/>
    <col min="3080" max="3080" width="8.28515625" style="52" customWidth="1"/>
    <col min="3081" max="3081" width="9.42578125" style="52" bestFit="1" customWidth="1"/>
    <col min="3082" max="3328" width="9.140625" style="52"/>
    <col min="3329" max="3329" width="57.140625" style="52" customWidth="1"/>
    <col min="3330" max="3330" width="4.7109375" style="52" customWidth="1"/>
    <col min="3331" max="3331" width="5.28515625" style="52" customWidth="1"/>
    <col min="3332" max="3332" width="3.7109375" style="52" customWidth="1"/>
    <col min="3333" max="3333" width="13.5703125" style="52" customWidth="1"/>
    <col min="3334" max="3334" width="7.42578125" style="52" bestFit="1" customWidth="1"/>
    <col min="3335" max="3335" width="10.28515625" style="52" bestFit="1" customWidth="1"/>
    <col min="3336" max="3336" width="8.28515625" style="52" customWidth="1"/>
    <col min="3337" max="3337" width="9.42578125" style="52" bestFit="1" customWidth="1"/>
    <col min="3338" max="3584" width="9.140625" style="52"/>
    <col min="3585" max="3585" width="57.140625" style="52" customWidth="1"/>
    <col min="3586" max="3586" width="4.7109375" style="52" customWidth="1"/>
    <col min="3587" max="3587" width="5.28515625" style="52" customWidth="1"/>
    <col min="3588" max="3588" width="3.7109375" style="52" customWidth="1"/>
    <col min="3589" max="3589" width="13.5703125" style="52" customWidth="1"/>
    <col min="3590" max="3590" width="7.42578125" style="52" bestFit="1" customWidth="1"/>
    <col min="3591" max="3591" width="10.28515625" style="52" bestFit="1" customWidth="1"/>
    <col min="3592" max="3592" width="8.28515625" style="52" customWidth="1"/>
    <col min="3593" max="3593" width="9.42578125" style="52" bestFit="1" customWidth="1"/>
    <col min="3594" max="3840" width="9.140625" style="52"/>
    <col min="3841" max="3841" width="57.140625" style="52" customWidth="1"/>
    <col min="3842" max="3842" width="4.7109375" style="52" customWidth="1"/>
    <col min="3843" max="3843" width="5.28515625" style="52" customWidth="1"/>
    <col min="3844" max="3844" width="3.7109375" style="52" customWidth="1"/>
    <col min="3845" max="3845" width="13.5703125" style="52" customWidth="1"/>
    <col min="3846" max="3846" width="7.42578125" style="52" bestFit="1" customWidth="1"/>
    <col min="3847" max="3847" width="10.28515625" style="52" bestFit="1" customWidth="1"/>
    <col min="3848" max="3848" width="8.28515625" style="52" customWidth="1"/>
    <col min="3849" max="3849" width="9.42578125" style="52" bestFit="1" customWidth="1"/>
    <col min="3850" max="4096" width="9.140625" style="52"/>
    <col min="4097" max="4097" width="57.140625" style="52" customWidth="1"/>
    <col min="4098" max="4098" width="4.7109375" style="52" customWidth="1"/>
    <col min="4099" max="4099" width="5.28515625" style="52" customWidth="1"/>
    <col min="4100" max="4100" width="3.7109375" style="52" customWidth="1"/>
    <col min="4101" max="4101" width="13.5703125" style="52" customWidth="1"/>
    <col min="4102" max="4102" width="7.42578125" style="52" bestFit="1" customWidth="1"/>
    <col min="4103" max="4103" width="10.28515625" style="52" bestFit="1" customWidth="1"/>
    <col min="4104" max="4104" width="8.28515625" style="52" customWidth="1"/>
    <col min="4105" max="4105" width="9.42578125" style="52" bestFit="1" customWidth="1"/>
    <col min="4106" max="4352" width="9.140625" style="52"/>
    <col min="4353" max="4353" width="57.140625" style="52" customWidth="1"/>
    <col min="4354" max="4354" width="4.7109375" style="52" customWidth="1"/>
    <col min="4355" max="4355" width="5.28515625" style="52" customWidth="1"/>
    <col min="4356" max="4356" width="3.7109375" style="52" customWidth="1"/>
    <col min="4357" max="4357" width="13.5703125" style="52" customWidth="1"/>
    <col min="4358" max="4358" width="7.42578125" style="52" bestFit="1" customWidth="1"/>
    <col min="4359" max="4359" width="10.28515625" style="52" bestFit="1" customWidth="1"/>
    <col min="4360" max="4360" width="8.28515625" style="52" customWidth="1"/>
    <col min="4361" max="4361" width="9.42578125" style="52" bestFit="1" customWidth="1"/>
    <col min="4362" max="4608" width="9.140625" style="52"/>
    <col min="4609" max="4609" width="57.140625" style="52" customWidth="1"/>
    <col min="4610" max="4610" width="4.7109375" style="52" customWidth="1"/>
    <col min="4611" max="4611" width="5.28515625" style="52" customWidth="1"/>
    <col min="4612" max="4612" width="3.7109375" style="52" customWidth="1"/>
    <col min="4613" max="4613" width="13.5703125" style="52" customWidth="1"/>
    <col min="4614" max="4614" width="7.42578125" style="52" bestFit="1" customWidth="1"/>
    <col min="4615" max="4615" width="10.28515625" style="52" bestFit="1" customWidth="1"/>
    <col min="4616" max="4616" width="8.28515625" style="52" customWidth="1"/>
    <col min="4617" max="4617" width="9.42578125" style="52" bestFit="1" customWidth="1"/>
    <col min="4618" max="4864" width="9.140625" style="52"/>
    <col min="4865" max="4865" width="57.140625" style="52" customWidth="1"/>
    <col min="4866" max="4866" width="4.7109375" style="52" customWidth="1"/>
    <col min="4867" max="4867" width="5.28515625" style="52" customWidth="1"/>
    <col min="4868" max="4868" width="3.7109375" style="52" customWidth="1"/>
    <col min="4869" max="4869" width="13.5703125" style="52" customWidth="1"/>
    <col min="4870" max="4870" width="7.42578125" style="52" bestFit="1" customWidth="1"/>
    <col min="4871" max="4871" width="10.28515625" style="52" bestFit="1" customWidth="1"/>
    <col min="4872" max="4872" width="8.28515625" style="52" customWidth="1"/>
    <col min="4873" max="4873" width="9.42578125" style="52" bestFit="1" customWidth="1"/>
    <col min="4874" max="5120" width="9.140625" style="52"/>
    <col min="5121" max="5121" width="57.140625" style="52" customWidth="1"/>
    <col min="5122" max="5122" width="4.7109375" style="52" customWidth="1"/>
    <col min="5123" max="5123" width="5.28515625" style="52" customWidth="1"/>
    <col min="5124" max="5124" width="3.7109375" style="52" customWidth="1"/>
    <col min="5125" max="5125" width="13.5703125" style="52" customWidth="1"/>
    <col min="5126" max="5126" width="7.42578125" style="52" bestFit="1" customWidth="1"/>
    <col min="5127" max="5127" width="10.28515625" style="52" bestFit="1" customWidth="1"/>
    <col min="5128" max="5128" width="8.28515625" style="52" customWidth="1"/>
    <col min="5129" max="5129" width="9.42578125" style="52" bestFit="1" customWidth="1"/>
    <col min="5130" max="5376" width="9.140625" style="52"/>
    <col min="5377" max="5377" width="57.140625" style="52" customWidth="1"/>
    <col min="5378" max="5378" width="4.7109375" style="52" customWidth="1"/>
    <col min="5379" max="5379" width="5.28515625" style="52" customWidth="1"/>
    <col min="5380" max="5380" width="3.7109375" style="52" customWidth="1"/>
    <col min="5381" max="5381" width="13.5703125" style="52" customWidth="1"/>
    <col min="5382" max="5382" width="7.42578125" style="52" bestFit="1" customWidth="1"/>
    <col min="5383" max="5383" width="10.28515625" style="52" bestFit="1" customWidth="1"/>
    <col min="5384" max="5384" width="8.28515625" style="52" customWidth="1"/>
    <col min="5385" max="5385" width="9.42578125" style="52" bestFit="1" customWidth="1"/>
    <col min="5386" max="5632" width="9.140625" style="52"/>
    <col min="5633" max="5633" width="57.140625" style="52" customWidth="1"/>
    <col min="5634" max="5634" width="4.7109375" style="52" customWidth="1"/>
    <col min="5635" max="5635" width="5.28515625" style="52" customWidth="1"/>
    <col min="5636" max="5636" width="3.7109375" style="52" customWidth="1"/>
    <col min="5637" max="5637" width="13.5703125" style="52" customWidth="1"/>
    <col min="5638" max="5638" width="7.42578125" style="52" bestFit="1" customWidth="1"/>
    <col min="5639" max="5639" width="10.28515625" style="52" bestFit="1" customWidth="1"/>
    <col min="5640" max="5640" width="8.28515625" style="52" customWidth="1"/>
    <col min="5641" max="5641" width="9.42578125" style="52" bestFit="1" customWidth="1"/>
    <col min="5642" max="5888" width="9.140625" style="52"/>
    <col min="5889" max="5889" width="57.140625" style="52" customWidth="1"/>
    <col min="5890" max="5890" width="4.7109375" style="52" customWidth="1"/>
    <col min="5891" max="5891" width="5.28515625" style="52" customWidth="1"/>
    <col min="5892" max="5892" width="3.7109375" style="52" customWidth="1"/>
    <col min="5893" max="5893" width="13.5703125" style="52" customWidth="1"/>
    <col min="5894" max="5894" width="7.42578125" style="52" bestFit="1" customWidth="1"/>
    <col min="5895" max="5895" width="10.28515625" style="52" bestFit="1" customWidth="1"/>
    <col min="5896" max="5896" width="8.28515625" style="52" customWidth="1"/>
    <col min="5897" max="5897" width="9.42578125" style="52" bestFit="1" customWidth="1"/>
    <col min="5898" max="6144" width="9.140625" style="52"/>
    <col min="6145" max="6145" width="57.140625" style="52" customWidth="1"/>
    <col min="6146" max="6146" width="4.7109375" style="52" customWidth="1"/>
    <col min="6147" max="6147" width="5.28515625" style="52" customWidth="1"/>
    <col min="6148" max="6148" width="3.7109375" style="52" customWidth="1"/>
    <col min="6149" max="6149" width="13.5703125" style="52" customWidth="1"/>
    <col min="6150" max="6150" width="7.42578125" style="52" bestFit="1" customWidth="1"/>
    <col min="6151" max="6151" width="10.28515625" style="52" bestFit="1" customWidth="1"/>
    <col min="6152" max="6152" width="8.28515625" style="52" customWidth="1"/>
    <col min="6153" max="6153" width="9.42578125" style="52" bestFit="1" customWidth="1"/>
    <col min="6154" max="6400" width="9.140625" style="52"/>
    <col min="6401" max="6401" width="57.140625" style="52" customWidth="1"/>
    <col min="6402" max="6402" width="4.7109375" style="52" customWidth="1"/>
    <col min="6403" max="6403" width="5.28515625" style="52" customWidth="1"/>
    <col min="6404" max="6404" width="3.7109375" style="52" customWidth="1"/>
    <col min="6405" max="6405" width="13.5703125" style="52" customWidth="1"/>
    <col min="6406" max="6406" width="7.42578125" style="52" bestFit="1" customWidth="1"/>
    <col min="6407" max="6407" width="10.28515625" style="52" bestFit="1" customWidth="1"/>
    <col min="6408" max="6408" width="8.28515625" style="52" customWidth="1"/>
    <col min="6409" max="6409" width="9.42578125" style="52" bestFit="1" customWidth="1"/>
    <col min="6410" max="6656" width="9.140625" style="52"/>
    <col min="6657" max="6657" width="57.140625" style="52" customWidth="1"/>
    <col min="6658" max="6658" width="4.7109375" style="52" customWidth="1"/>
    <col min="6659" max="6659" width="5.28515625" style="52" customWidth="1"/>
    <col min="6660" max="6660" width="3.7109375" style="52" customWidth="1"/>
    <col min="6661" max="6661" width="13.5703125" style="52" customWidth="1"/>
    <col min="6662" max="6662" width="7.42578125" style="52" bestFit="1" customWidth="1"/>
    <col min="6663" max="6663" width="10.28515625" style="52" bestFit="1" customWidth="1"/>
    <col min="6664" max="6664" width="8.28515625" style="52" customWidth="1"/>
    <col min="6665" max="6665" width="9.42578125" style="52" bestFit="1" customWidth="1"/>
    <col min="6666" max="6912" width="9.140625" style="52"/>
    <col min="6913" max="6913" width="57.140625" style="52" customWidth="1"/>
    <col min="6914" max="6914" width="4.7109375" style="52" customWidth="1"/>
    <col min="6915" max="6915" width="5.28515625" style="52" customWidth="1"/>
    <col min="6916" max="6916" width="3.7109375" style="52" customWidth="1"/>
    <col min="6917" max="6917" width="13.5703125" style="52" customWidth="1"/>
    <col min="6918" max="6918" width="7.42578125" style="52" bestFit="1" customWidth="1"/>
    <col min="6919" max="6919" width="10.28515625" style="52" bestFit="1" customWidth="1"/>
    <col min="6920" max="6920" width="8.28515625" style="52" customWidth="1"/>
    <col min="6921" max="6921" width="9.42578125" style="52" bestFit="1" customWidth="1"/>
    <col min="6922" max="7168" width="9.140625" style="52"/>
    <col min="7169" max="7169" width="57.140625" style="52" customWidth="1"/>
    <col min="7170" max="7170" width="4.7109375" style="52" customWidth="1"/>
    <col min="7171" max="7171" width="5.28515625" style="52" customWidth="1"/>
    <col min="7172" max="7172" width="3.7109375" style="52" customWidth="1"/>
    <col min="7173" max="7173" width="13.5703125" style="52" customWidth="1"/>
    <col min="7174" max="7174" width="7.42578125" style="52" bestFit="1" customWidth="1"/>
    <col min="7175" max="7175" width="10.28515625" style="52" bestFit="1" customWidth="1"/>
    <col min="7176" max="7176" width="8.28515625" style="52" customWidth="1"/>
    <col min="7177" max="7177" width="9.42578125" style="52" bestFit="1" customWidth="1"/>
    <col min="7178" max="7424" width="9.140625" style="52"/>
    <col min="7425" max="7425" width="57.140625" style="52" customWidth="1"/>
    <col min="7426" max="7426" width="4.7109375" style="52" customWidth="1"/>
    <col min="7427" max="7427" width="5.28515625" style="52" customWidth="1"/>
    <col min="7428" max="7428" width="3.7109375" style="52" customWidth="1"/>
    <col min="7429" max="7429" width="13.5703125" style="52" customWidth="1"/>
    <col min="7430" max="7430" width="7.42578125" style="52" bestFit="1" customWidth="1"/>
    <col min="7431" max="7431" width="10.28515625" style="52" bestFit="1" customWidth="1"/>
    <col min="7432" max="7432" width="8.28515625" style="52" customWidth="1"/>
    <col min="7433" max="7433" width="9.42578125" style="52" bestFit="1" customWidth="1"/>
    <col min="7434" max="7680" width="9.140625" style="52"/>
    <col min="7681" max="7681" width="57.140625" style="52" customWidth="1"/>
    <col min="7682" max="7682" width="4.7109375" style="52" customWidth="1"/>
    <col min="7683" max="7683" width="5.28515625" style="52" customWidth="1"/>
    <col min="7684" max="7684" width="3.7109375" style="52" customWidth="1"/>
    <col min="7685" max="7685" width="13.5703125" style="52" customWidth="1"/>
    <col min="7686" max="7686" width="7.42578125" style="52" bestFit="1" customWidth="1"/>
    <col min="7687" max="7687" width="10.28515625" style="52" bestFit="1" customWidth="1"/>
    <col min="7688" max="7688" width="8.28515625" style="52" customWidth="1"/>
    <col min="7689" max="7689" width="9.42578125" style="52" bestFit="1" customWidth="1"/>
    <col min="7690" max="7936" width="9.140625" style="52"/>
    <col min="7937" max="7937" width="57.140625" style="52" customWidth="1"/>
    <col min="7938" max="7938" width="4.7109375" style="52" customWidth="1"/>
    <col min="7939" max="7939" width="5.28515625" style="52" customWidth="1"/>
    <col min="7940" max="7940" width="3.7109375" style="52" customWidth="1"/>
    <col min="7941" max="7941" width="13.5703125" style="52" customWidth="1"/>
    <col min="7942" max="7942" width="7.42578125" style="52" bestFit="1" customWidth="1"/>
    <col min="7943" max="7943" width="10.28515625" style="52" bestFit="1" customWidth="1"/>
    <col min="7944" max="7944" width="8.28515625" style="52" customWidth="1"/>
    <col min="7945" max="7945" width="9.42578125" style="52" bestFit="1" customWidth="1"/>
    <col min="7946" max="8192" width="9.140625" style="52"/>
    <col min="8193" max="8193" width="57.140625" style="52" customWidth="1"/>
    <col min="8194" max="8194" width="4.7109375" style="52" customWidth="1"/>
    <col min="8195" max="8195" width="5.28515625" style="52" customWidth="1"/>
    <col min="8196" max="8196" width="3.7109375" style="52" customWidth="1"/>
    <col min="8197" max="8197" width="13.5703125" style="52" customWidth="1"/>
    <col min="8198" max="8198" width="7.42578125" style="52" bestFit="1" customWidth="1"/>
    <col min="8199" max="8199" width="10.28515625" style="52" bestFit="1" customWidth="1"/>
    <col min="8200" max="8200" width="8.28515625" style="52" customWidth="1"/>
    <col min="8201" max="8201" width="9.42578125" style="52" bestFit="1" customWidth="1"/>
    <col min="8202" max="8448" width="9.140625" style="52"/>
    <col min="8449" max="8449" width="57.140625" style="52" customWidth="1"/>
    <col min="8450" max="8450" width="4.7109375" style="52" customWidth="1"/>
    <col min="8451" max="8451" width="5.28515625" style="52" customWidth="1"/>
    <col min="8452" max="8452" width="3.7109375" style="52" customWidth="1"/>
    <col min="8453" max="8453" width="13.5703125" style="52" customWidth="1"/>
    <col min="8454" max="8454" width="7.42578125" style="52" bestFit="1" customWidth="1"/>
    <col min="8455" max="8455" width="10.28515625" style="52" bestFit="1" customWidth="1"/>
    <col min="8456" max="8456" width="8.28515625" style="52" customWidth="1"/>
    <col min="8457" max="8457" width="9.42578125" style="52" bestFit="1" customWidth="1"/>
    <col min="8458" max="8704" width="9.140625" style="52"/>
    <col min="8705" max="8705" width="57.140625" style="52" customWidth="1"/>
    <col min="8706" max="8706" width="4.7109375" style="52" customWidth="1"/>
    <col min="8707" max="8707" width="5.28515625" style="52" customWidth="1"/>
    <col min="8708" max="8708" width="3.7109375" style="52" customWidth="1"/>
    <col min="8709" max="8709" width="13.5703125" style="52" customWidth="1"/>
    <col min="8710" max="8710" width="7.42578125" style="52" bestFit="1" customWidth="1"/>
    <col min="8711" max="8711" width="10.28515625" style="52" bestFit="1" customWidth="1"/>
    <col min="8712" max="8712" width="8.28515625" style="52" customWidth="1"/>
    <col min="8713" max="8713" width="9.42578125" style="52" bestFit="1" customWidth="1"/>
    <col min="8714" max="8960" width="9.140625" style="52"/>
    <col min="8961" max="8961" width="57.140625" style="52" customWidth="1"/>
    <col min="8962" max="8962" width="4.7109375" style="52" customWidth="1"/>
    <col min="8963" max="8963" width="5.28515625" style="52" customWidth="1"/>
    <col min="8964" max="8964" width="3.7109375" style="52" customWidth="1"/>
    <col min="8965" max="8965" width="13.5703125" style="52" customWidth="1"/>
    <col min="8966" max="8966" width="7.42578125" style="52" bestFit="1" customWidth="1"/>
    <col min="8967" max="8967" width="10.28515625" style="52" bestFit="1" customWidth="1"/>
    <col min="8968" max="8968" width="8.28515625" style="52" customWidth="1"/>
    <col min="8969" max="8969" width="9.42578125" style="52" bestFit="1" customWidth="1"/>
    <col min="8970" max="9216" width="9.140625" style="52"/>
    <col min="9217" max="9217" width="57.140625" style="52" customWidth="1"/>
    <col min="9218" max="9218" width="4.7109375" style="52" customWidth="1"/>
    <col min="9219" max="9219" width="5.28515625" style="52" customWidth="1"/>
    <col min="9220" max="9220" width="3.7109375" style="52" customWidth="1"/>
    <col min="9221" max="9221" width="13.5703125" style="52" customWidth="1"/>
    <col min="9222" max="9222" width="7.42578125" style="52" bestFit="1" customWidth="1"/>
    <col min="9223" max="9223" width="10.28515625" style="52" bestFit="1" customWidth="1"/>
    <col min="9224" max="9224" width="8.28515625" style="52" customWidth="1"/>
    <col min="9225" max="9225" width="9.42578125" style="52" bestFit="1" customWidth="1"/>
    <col min="9226" max="9472" width="9.140625" style="52"/>
    <col min="9473" max="9473" width="57.140625" style="52" customWidth="1"/>
    <col min="9474" max="9474" width="4.7109375" style="52" customWidth="1"/>
    <col min="9475" max="9475" width="5.28515625" style="52" customWidth="1"/>
    <col min="9476" max="9476" width="3.7109375" style="52" customWidth="1"/>
    <col min="9477" max="9477" width="13.5703125" style="52" customWidth="1"/>
    <col min="9478" max="9478" width="7.42578125" style="52" bestFit="1" customWidth="1"/>
    <col min="9479" max="9479" width="10.28515625" style="52" bestFit="1" customWidth="1"/>
    <col min="9480" max="9480" width="8.28515625" style="52" customWidth="1"/>
    <col min="9481" max="9481" width="9.42578125" style="52" bestFit="1" customWidth="1"/>
    <col min="9482" max="9728" width="9.140625" style="52"/>
    <col min="9729" max="9729" width="57.140625" style="52" customWidth="1"/>
    <col min="9730" max="9730" width="4.7109375" style="52" customWidth="1"/>
    <col min="9731" max="9731" width="5.28515625" style="52" customWidth="1"/>
    <col min="9732" max="9732" width="3.7109375" style="52" customWidth="1"/>
    <col min="9733" max="9733" width="13.5703125" style="52" customWidth="1"/>
    <col min="9734" max="9734" width="7.42578125" style="52" bestFit="1" customWidth="1"/>
    <col min="9735" max="9735" width="10.28515625" style="52" bestFit="1" customWidth="1"/>
    <col min="9736" max="9736" width="8.28515625" style="52" customWidth="1"/>
    <col min="9737" max="9737" width="9.42578125" style="52" bestFit="1" customWidth="1"/>
    <col min="9738" max="9984" width="9.140625" style="52"/>
    <col min="9985" max="9985" width="57.140625" style="52" customWidth="1"/>
    <col min="9986" max="9986" width="4.7109375" style="52" customWidth="1"/>
    <col min="9987" max="9987" width="5.28515625" style="52" customWidth="1"/>
    <col min="9988" max="9988" width="3.7109375" style="52" customWidth="1"/>
    <col min="9989" max="9989" width="13.5703125" style="52" customWidth="1"/>
    <col min="9990" max="9990" width="7.42578125" style="52" bestFit="1" customWidth="1"/>
    <col min="9991" max="9991" width="10.28515625" style="52" bestFit="1" customWidth="1"/>
    <col min="9992" max="9992" width="8.28515625" style="52" customWidth="1"/>
    <col min="9993" max="9993" width="9.42578125" style="52" bestFit="1" customWidth="1"/>
    <col min="9994" max="10240" width="9.140625" style="52"/>
    <col min="10241" max="10241" width="57.140625" style="52" customWidth="1"/>
    <col min="10242" max="10242" width="4.7109375" style="52" customWidth="1"/>
    <col min="10243" max="10243" width="5.28515625" style="52" customWidth="1"/>
    <col min="10244" max="10244" width="3.7109375" style="52" customWidth="1"/>
    <col min="10245" max="10245" width="13.5703125" style="52" customWidth="1"/>
    <col min="10246" max="10246" width="7.42578125" style="52" bestFit="1" customWidth="1"/>
    <col min="10247" max="10247" width="10.28515625" style="52" bestFit="1" customWidth="1"/>
    <col min="10248" max="10248" width="8.28515625" style="52" customWidth="1"/>
    <col min="10249" max="10249" width="9.42578125" style="52" bestFit="1" customWidth="1"/>
    <col min="10250" max="10496" width="9.140625" style="52"/>
    <col min="10497" max="10497" width="57.140625" style="52" customWidth="1"/>
    <col min="10498" max="10498" width="4.7109375" style="52" customWidth="1"/>
    <col min="10499" max="10499" width="5.28515625" style="52" customWidth="1"/>
    <col min="10500" max="10500" width="3.7109375" style="52" customWidth="1"/>
    <col min="10501" max="10501" width="13.5703125" style="52" customWidth="1"/>
    <col min="10502" max="10502" width="7.42578125" style="52" bestFit="1" customWidth="1"/>
    <col min="10503" max="10503" width="10.28515625" style="52" bestFit="1" customWidth="1"/>
    <col min="10504" max="10504" width="8.28515625" style="52" customWidth="1"/>
    <col min="10505" max="10505" width="9.42578125" style="52" bestFit="1" customWidth="1"/>
    <col min="10506" max="10752" width="9.140625" style="52"/>
    <col min="10753" max="10753" width="57.140625" style="52" customWidth="1"/>
    <col min="10754" max="10754" width="4.7109375" style="52" customWidth="1"/>
    <col min="10755" max="10755" width="5.28515625" style="52" customWidth="1"/>
    <col min="10756" max="10756" width="3.7109375" style="52" customWidth="1"/>
    <col min="10757" max="10757" width="13.5703125" style="52" customWidth="1"/>
    <col min="10758" max="10758" width="7.42578125" style="52" bestFit="1" customWidth="1"/>
    <col min="10759" max="10759" width="10.28515625" style="52" bestFit="1" customWidth="1"/>
    <col min="10760" max="10760" width="8.28515625" style="52" customWidth="1"/>
    <col min="10761" max="10761" width="9.42578125" style="52" bestFit="1" customWidth="1"/>
    <col min="10762" max="11008" width="9.140625" style="52"/>
    <col min="11009" max="11009" width="57.140625" style="52" customWidth="1"/>
    <col min="11010" max="11010" width="4.7109375" style="52" customWidth="1"/>
    <col min="11011" max="11011" width="5.28515625" style="52" customWidth="1"/>
    <col min="11012" max="11012" width="3.7109375" style="52" customWidth="1"/>
    <col min="11013" max="11013" width="13.5703125" style="52" customWidth="1"/>
    <col min="11014" max="11014" width="7.42578125" style="52" bestFit="1" customWidth="1"/>
    <col min="11015" max="11015" width="10.28515625" style="52" bestFit="1" customWidth="1"/>
    <col min="11016" max="11016" width="8.28515625" style="52" customWidth="1"/>
    <col min="11017" max="11017" width="9.42578125" style="52" bestFit="1" customWidth="1"/>
    <col min="11018" max="11264" width="9.140625" style="52"/>
    <col min="11265" max="11265" width="57.140625" style="52" customWidth="1"/>
    <col min="11266" max="11266" width="4.7109375" style="52" customWidth="1"/>
    <col min="11267" max="11267" width="5.28515625" style="52" customWidth="1"/>
    <col min="11268" max="11268" width="3.7109375" style="52" customWidth="1"/>
    <col min="11269" max="11269" width="13.5703125" style="52" customWidth="1"/>
    <col min="11270" max="11270" width="7.42578125" style="52" bestFit="1" customWidth="1"/>
    <col min="11271" max="11271" width="10.28515625" style="52" bestFit="1" customWidth="1"/>
    <col min="11272" max="11272" width="8.28515625" style="52" customWidth="1"/>
    <col min="11273" max="11273" width="9.42578125" style="52" bestFit="1" customWidth="1"/>
    <col min="11274" max="11520" width="9.140625" style="52"/>
    <col min="11521" max="11521" width="57.140625" style="52" customWidth="1"/>
    <col min="11522" max="11522" width="4.7109375" style="52" customWidth="1"/>
    <col min="11523" max="11523" width="5.28515625" style="52" customWidth="1"/>
    <col min="11524" max="11524" width="3.7109375" style="52" customWidth="1"/>
    <col min="11525" max="11525" width="13.5703125" style="52" customWidth="1"/>
    <col min="11526" max="11526" width="7.42578125" style="52" bestFit="1" customWidth="1"/>
    <col min="11527" max="11527" width="10.28515625" style="52" bestFit="1" customWidth="1"/>
    <col min="11528" max="11528" width="8.28515625" style="52" customWidth="1"/>
    <col min="11529" max="11529" width="9.42578125" style="52" bestFit="1" customWidth="1"/>
    <col min="11530" max="11776" width="9.140625" style="52"/>
    <col min="11777" max="11777" width="57.140625" style="52" customWidth="1"/>
    <col min="11778" max="11778" width="4.7109375" style="52" customWidth="1"/>
    <col min="11779" max="11779" width="5.28515625" style="52" customWidth="1"/>
    <col min="11780" max="11780" width="3.7109375" style="52" customWidth="1"/>
    <col min="11781" max="11781" width="13.5703125" style="52" customWidth="1"/>
    <col min="11782" max="11782" width="7.42578125" style="52" bestFit="1" customWidth="1"/>
    <col min="11783" max="11783" width="10.28515625" style="52" bestFit="1" customWidth="1"/>
    <col min="11784" max="11784" width="8.28515625" style="52" customWidth="1"/>
    <col min="11785" max="11785" width="9.42578125" style="52" bestFit="1" customWidth="1"/>
    <col min="11786" max="12032" width="9.140625" style="52"/>
    <col min="12033" max="12033" width="57.140625" style="52" customWidth="1"/>
    <col min="12034" max="12034" width="4.7109375" style="52" customWidth="1"/>
    <col min="12035" max="12035" width="5.28515625" style="52" customWidth="1"/>
    <col min="12036" max="12036" width="3.7109375" style="52" customWidth="1"/>
    <col min="12037" max="12037" width="13.5703125" style="52" customWidth="1"/>
    <col min="12038" max="12038" width="7.42578125" style="52" bestFit="1" customWidth="1"/>
    <col min="12039" max="12039" width="10.28515625" style="52" bestFit="1" customWidth="1"/>
    <col min="12040" max="12040" width="8.28515625" style="52" customWidth="1"/>
    <col min="12041" max="12041" width="9.42578125" style="52" bestFit="1" customWidth="1"/>
    <col min="12042" max="12288" width="9.140625" style="52"/>
    <col min="12289" max="12289" width="57.140625" style="52" customWidth="1"/>
    <col min="12290" max="12290" width="4.7109375" style="52" customWidth="1"/>
    <col min="12291" max="12291" width="5.28515625" style="52" customWidth="1"/>
    <col min="12292" max="12292" width="3.7109375" style="52" customWidth="1"/>
    <col min="12293" max="12293" width="13.5703125" style="52" customWidth="1"/>
    <col min="12294" max="12294" width="7.42578125" style="52" bestFit="1" customWidth="1"/>
    <col min="12295" max="12295" width="10.28515625" style="52" bestFit="1" customWidth="1"/>
    <col min="12296" max="12296" width="8.28515625" style="52" customWidth="1"/>
    <col min="12297" max="12297" width="9.42578125" style="52" bestFit="1" customWidth="1"/>
    <col min="12298" max="12544" width="9.140625" style="52"/>
    <col min="12545" max="12545" width="57.140625" style="52" customWidth="1"/>
    <col min="12546" max="12546" width="4.7109375" style="52" customWidth="1"/>
    <col min="12547" max="12547" width="5.28515625" style="52" customWidth="1"/>
    <col min="12548" max="12548" width="3.7109375" style="52" customWidth="1"/>
    <col min="12549" max="12549" width="13.5703125" style="52" customWidth="1"/>
    <col min="12550" max="12550" width="7.42578125" style="52" bestFit="1" customWidth="1"/>
    <col min="12551" max="12551" width="10.28515625" style="52" bestFit="1" customWidth="1"/>
    <col min="12552" max="12552" width="8.28515625" style="52" customWidth="1"/>
    <col min="12553" max="12553" width="9.42578125" style="52" bestFit="1" customWidth="1"/>
    <col min="12554" max="12800" width="9.140625" style="52"/>
    <col min="12801" max="12801" width="57.140625" style="52" customWidth="1"/>
    <col min="12802" max="12802" width="4.7109375" style="52" customWidth="1"/>
    <col min="12803" max="12803" width="5.28515625" style="52" customWidth="1"/>
    <col min="12804" max="12804" width="3.7109375" style="52" customWidth="1"/>
    <col min="12805" max="12805" width="13.5703125" style="52" customWidth="1"/>
    <col min="12806" max="12806" width="7.42578125" style="52" bestFit="1" customWidth="1"/>
    <col min="12807" max="12807" width="10.28515625" style="52" bestFit="1" customWidth="1"/>
    <col min="12808" max="12808" width="8.28515625" style="52" customWidth="1"/>
    <col min="12809" max="12809" width="9.42578125" style="52" bestFit="1" customWidth="1"/>
    <col min="12810" max="13056" width="9.140625" style="52"/>
    <col min="13057" max="13057" width="57.140625" style="52" customWidth="1"/>
    <col min="13058" max="13058" width="4.7109375" style="52" customWidth="1"/>
    <col min="13059" max="13059" width="5.28515625" style="52" customWidth="1"/>
    <col min="13060" max="13060" width="3.7109375" style="52" customWidth="1"/>
    <col min="13061" max="13061" width="13.5703125" style="52" customWidth="1"/>
    <col min="13062" max="13062" width="7.42578125" style="52" bestFit="1" customWidth="1"/>
    <col min="13063" max="13063" width="10.28515625" style="52" bestFit="1" customWidth="1"/>
    <col min="13064" max="13064" width="8.28515625" style="52" customWidth="1"/>
    <col min="13065" max="13065" width="9.42578125" style="52" bestFit="1" customWidth="1"/>
    <col min="13066" max="13312" width="9.140625" style="52"/>
    <col min="13313" max="13313" width="57.140625" style="52" customWidth="1"/>
    <col min="13314" max="13314" width="4.7109375" style="52" customWidth="1"/>
    <col min="13315" max="13315" width="5.28515625" style="52" customWidth="1"/>
    <col min="13316" max="13316" width="3.7109375" style="52" customWidth="1"/>
    <col min="13317" max="13317" width="13.5703125" style="52" customWidth="1"/>
    <col min="13318" max="13318" width="7.42578125" style="52" bestFit="1" customWidth="1"/>
    <col min="13319" max="13319" width="10.28515625" style="52" bestFit="1" customWidth="1"/>
    <col min="13320" max="13320" width="8.28515625" style="52" customWidth="1"/>
    <col min="13321" max="13321" width="9.42578125" style="52" bestFit="1" customWidth="1"/>
    <col min="13322" max="13568" width="9.140625" style="52"/>
    <col min="13569" max="13569" width="57.140625" style="52" customWidth="1"/>
    <col min="13570" max="13570" width="4.7109375" style="52" customWidth="1"/>
    <col min="13571" max="13571" width="5.28515625" style="52" customWidth="1"/>
    <col min="13572" max="13572" width="3.7109375" style="52" customWidth="1"/>
    <col min="13573" max="13573" width="13.5703125" style="52" customWidth="1"/>
    <col min="13574" max="13574" width="7.42578125" style="52" bestFit="1" customWidth="1"/>
    <col min="13575" max="13575" width="10.28515625" style="52" bestFit="1" customWidth="1"/>
    <col min="13576" max="13576" width="8.28515625" style="52" customWidth="1"/>
    <col min="13577" max="13577" width="9.42578125" style="52" bestFit="1" customWidth="1"/>
    <col min="13578" max="13824" width="9.140625" style="52"/>
    <col min="13825" max="13825" width="57.140625" style="52" customWidth="1"/>
    <col min="13826" max="13826" width="4.7109375" style="52" customWidth="1"/>
    <col min="13827" max="13827" width="5.28515625" style="52" customWidth="1"/>
    <col min="13828" max="13828" width="3.7109375" style="52" customWidth="1"/>
    <col min="13829" max="13829" width="13.5703125" style="52" customWidth="1"/>
    <col min="13830" max="13830" width="7.42578125" style="52" bestFit="1" customWidth="1"/>
    <col min="13831" max="13831" width="10.28515625" style="52" bestFit="1" customWidth="1"/>
    <col min="13832" max="13832" width="8.28515625" style="52" customWidth="1"/>
    <col min="13833" max="13833" width="9.42578125" style="52" bestFit="1" customWidth="1"/>
    <col min="13834" max="14080" width="9.140625" style="52"/>
    <col min="14081" max="14081" width="57.140625" style="52" customWidth="1"/>
    <col min="14082" max="14082" width="4.7109375" style="52" customWidth="1"/>
    <col min="14083" max="14083" width="5.28515625" style="52" customWidth="1"/>
    <col min="14084" max="14084" width="3.7109375" style="52" customWidth="1"/>
    <col min="14085" max="14085" width="13.5703125" style="52" customWidth="1"/>
    <col min="14086" max="14086" width="7.42578125" style="52" bestFit="1" customWidth="1"/>
    <col min="14087" max="14087" width="10.28515625" style="52" bestFit="1" customWidth="1"/>
    <col min="14088" max="14088" width="8.28515625" style="52" customWidth="1"/>
    <col min="14089" max="14089" width="9.42578125" style="52" bestFit="1" customWidth="1"/>
    <col min="14090" max="14336" width="9.140625" style="52"/>
    <col min="14337" max="14337" width="57.140625" style="52" customWidth="1"/>
    <col min="14338" max="14338" width="4.7109375" style="52" customWidth="1"/>
    <col min="14339" max="14339" width="5.28515625" style="52" customWidth="1"/>
    <col min="14340" max="14340" width="3.7109375" style="52" customWidth="1"/>
    <col min="14341" max="14341" width="13.5703125" style="52" customWidth="1"/>
    <col min="14342" max="14342" width="7.42578125" style="52" bestFit="1" customWidth="1"/>
    <col min="14343" max="14343" width="10.28515625" style="52" bestFit="1" customWidth="1"/>
    <col min="14344" max="14344" width="8.28515625" style="52" customWidth="1"/>
    <col min="14345" max="14345" width="9.42578125" style="52" bestFit="1" customWidth="1"/>
    <col min="14346" max="14592" width="9.140625" style="52"/>
    <col min="14593" max="14593" width="57.140625" style="52" customWidth="1"/>
    <col min="14594" max="14594" width="4.7109375" style="52" customWidth="1"/>
    <col min="14595" max="14595" width="5.28515625" style="52" customWidth="1"/>
    <col min="14596" max="14596" width="3.7109375" style="52" customWidth="1"/>
    <col min="14597" max="14597" width="13.5703125" style="52" customWidth="1"/>
    <col min="14598" max="14598" width="7.42578125" style="52" bestFit="1" customWidth="1"/>
    <col min="14599" max="14599" width="10.28515625" style="52" bestFit="1" customWidth="1"/>
    <col min="14600" max="14600" width="8.28515625" style="52" customWidth="1"/>
    <col min="14601" max="14601" width="9.42578125" style="52" bestFit="1" customWidth="1"/>
    <col min="14602" max="14848" width="9.140625" style="52"/>
    <col min="14849" max="14849" width="57.140625" style="52" customWidth="1"/>
    <col min="14850" max="14850" width="4.7109375" style="52" customWidth="1"/>
    <col min="14851" max="14851" width="5.28515625" style="52" customWidth="1"/>
    <col min="14852" max="14852" width="3.7109375" style="52" customWidth="1"/>
    <col min="14853" max="14853" width="13.5703125" style="52" customWidth="1"/>
    <col min="14854" max="14854" width="7.42578125" style="52" bestFit="1" customWidth="1"/>
    <col min="14855" max="14855" width="10.28515625" style="52" bestFit="1" customWidth="1"/>
    <col min="14856" max="14856" width="8.28515625" style="52" customWidth="1"/>
    <col min="14857" max="14857" width="9.42578125" style="52" bestFit="1" customWidth="1"/>
    <col min="14858" max="15104" width="9.140625" style="52"/>
    <col min="15105" max="15105" width="57.140625" style="52" customWidth="1"/>
    <col min="15106" max="15106" width="4.7109375" style="52" customWidth="1"/>
    <col min="15107" max="15107" width="5.28515625" style="52" customWidth="1"/>
    <col min="15108" max="15108" width="3.7109375" style="52" customWidth="1"/>
    <col min="15109" max="15109" width="13.5703125" style="52" customWidth="1"/>
    <col min="15110" max="15110" width="7.42578125" style="52" bestFit="1" customWidth="1"/>
    <col min="15111" max="15111" width="10.28515625" style="52" bestFit="1" customWidth="1"/>
    <col min="15112" max="15112" width="8.28515625" style="52" customWidth="1"/>
    <col min="15113" max="15113" width="9.42578125" style="52" bestFit="1" customWidth="1"/>
    <col min="15114" max="15360" width="9.140625" style="52"/>
    <col min="15361" max="15361" width="57.140625" style="52" customWidth="1"/>
    <col min="15362" max="15362" width="4.7109375" style="52" customWidth="1"/>
    <col min="15363" max="15363" width="5.28515625" style="52" customWidth="1"/>
    <col min="15364" max="15364" width="3.7109375" style="52" customWidth="1"/>
    <col min="15365" max="15365" width="13.5703125" style="52" customWidth="1"/>
    <col min="15366" max="15366" width="7.42578125" style="52" bestFit="1" customWidth="1"/>
    <col min="15367" max="15367" width="10.28515625" style="52" bestFit="1" customWidth="1"/>
    <col min="15368" max="15368" width="8.28515625" style="52" customWidth="1"/>
    <col min="15369" max="15369" width="9.42578125" style="52" bestFit="1" customWidth="1"/>
    <col min="15370" max="15616" width="9.140625" style="52"/>
    <col min="15617" max="15617" width="57.140625" style="52" customWidth="1"/>
    <col min="15618" max="15618" width="4.7109375" style="52" customWidth="1"/>
    <col min="15619" max="15619" width="5.28515625" style="52" customWidth="1"/>
    <col min="15620" max="15620" width="3.7109375" style="52" customWidth="1"/>
    <col min="15621" max="15621" width="13.5703125" style="52" customWidth="1"/>
    <col min="15622" max="15622" width="7.42578125" style="52" bestFit="1" customWidth="1"/>
    <col min="15623" max="15623" width="10.28515625" style="52" bestFit="1" customWidth="1"/>
    <col min="15624" max="15624" width="8.28515625" style="52" customWidth="1"/>
    <col min="15625" max="15625" width="9.42578125" style="52" bestFit="1" customWidth="1"/>
    <col min="15626" max="15872" width="9.140625" style="52"/>
    <col min="15873" max="15873" width="57.140625" style="52" customWidth="1"/>
    <col min="15874" max="15874" width="4.7109375" style="52" customWidth="1"/>
    <col min="15875" max="15875" width="5.28515625" style="52" customWidth="1"/>
    <col min="15876" max="15876" width="3.7109375" style="52" customWidth="1"/>
    <col min="15877" max="15877" width="13.5703125" style="52" customWidth="1"/>
    <col min="15878" max="15878" width="7.42578125" style="52" bestFit="1" customWidth="1"/>
    <col min="15879" max="15879" width="10.28515625" style="52" bestFit="1" customWidth="1"/>
    <col min="15880" max="15880" width="8.28515625" style="52" customWidth="1"/>
    <col min="15881" max="15881" width="9.42578125" style="52" bestFit="1" customWidth="1"/>
    <col min="15882" max="16128" width="9.140625" style="52"/>
    <col min="16129" max="16129" width="57.140625" style="52" customWidth="1"/>
    <col min="16130" max="16130" width="4.7109375" style="52" customWidth="1"/>
    <col min="16131" max="16131" width="5.28515625" style="52" customWidth="1"/>
    <col min="16132" max="16132" width="3.7109375" style="52" customWidth="1"/>
    <col min="16133" max="16133" width="13.5703125" style="52" customWidth="1"/>
    <col min="16134" max="16134" width="7.42578125" style="52" bestFit="1" customWidth="1"/>
    <col min="16135" max="16135" width="10.28515625" style="52" bestFit="1" customWidth="1"/>
    <col min="16136" max="16136" width="8.28515625" style="52" customWidth="1"/>
    <col min="16137" max="16137" width="9.42578125" style="52" bestFit="1" customWidth="1"/>
    <col min="16138" max="16384" width="9.140625" style="52"/>
  </cols>
  <sheetData>
    <row r="1" spans="1:12" x14ac:dyDescent="0.2">
      <c r="A1" s="51"/>
      <c r="B1" s="449" t="s">
        <v>104</v>
      </c>
      <c r="C1" s="449"/>
      <c r="D1" s="449"/>
      <c r="E1" s="449"/>
      <c r="F1" s="449"/>
      <c r="G1" s="449"/>
      <c r="H1" s="160"/>
    </row>
    <row r="2" spans="1:12" x14ac:dyDescent="0.2">
      <c r="A2" s="51"/>
      <c r="B2" s="449" t="s">
        <v>105</v>
      </c>
      <c r="C2" s="449"/>
      <c r="D2" s="449"/>
      <c r="E2" s="449"/>
      <c r="F2" s="449"/>
      <c r="G2" s="449"/>
      <c r="H2" s="161"/>
    </row>
    <row r="3" spans="1:12" x14ac:dyDescent="0.2">
      <c r="A3" s="51"/>
      <c r="B3" s="449" t="s">
        <v>106</v>
      </c>
      <c r="C3" s="449"/>
      <c r="D3" s="449"/>
      <c r="E3" s="449"/>
      <c r="F3" s="449"/>
      <c r="G3" s="449"/>
      <c r="H3" s="160"/>
    </row>
    <row r="4" spans="1:12" x14ac:dyDescent="0.2">
      <c r="A4" s="51"/>
      <c r="B4" s="449" t="s">
        <v>107</v>
      </c>
      <c r="C4" s="449"/>
      <c r="D4" s="449"/>
      <c r="E4" s="449"/>
      <c r="F4" s="449"/>
      <c r="G4" s="449"/>
      <c r="H4" s="160"/>
    </row>
    <row r="5" spans="1:12" x14ac:dyDescent="0.2">
      <c r="A5" s="51"/>
      <c r="B5" s="449" t="s">
        <v>502</v>
      </c>
      <c r="C5" s="449"/>
      <c r="D5" s="449"/>
      <c r="E5" s="449"/>
      <c r="F5" s="449"/>
      <c r="G5" s="449"/>
      <c r="H5" s="160"/>
    </row>
    <row r="6" spans="1:12" x14ac:dyDescent="0.2">
      <c r="A6" s="51"/>
      <c r="B6" s="449" t="s">
        <v>108</v>
      </c>
      <c r="C6" s="449"/>
      <c r="D6" s="449"/>
      <c r="E6" s="449"/>
      <c r="F6" s="449"/>
      <c r="G6" s="449"/>
      <c r="H6" s="160"/>
    </row>
    <row r="7" spans="1:12" x14ac:dyDescent="0.2">
      <c r="A7" s="51"/>
      <c r="B7" s="449" t="s">
        <v>107</v>
      </c>
      <c r="C7" s="449"/>
      <c r="D7" s="449"/>
      <c r="E7" s="449"/>
      <c r="F7" s="449"/>
      <c r="G7" s="449"/>
      <c r="H7" s="162"/>
    </row>
    <row r="8" spans="1:12" x14ac:dyDescent="0.2">
      <c r="A8" s="51"/>
      <c r="B8" s="449" t="s">
        <v>503</v>
      </c>
      <c r="C8" s="449"/>
      <c r="D8" s="449"/>
      <c r="E8" s="449"/>
      <c r="F8" s="449"/>
      <c r="G8" s="449"/>
      <c r="H8" s="160"/>
    </row>
    <row r="9" spans="1:12" x14ac:dyDescent="0.2">
      <c r="A9" s="51"/>
      <c r="B9" s="450"/>
      <c r="C9" s="450"/>
      <c r="D9" s="450"/>
      <c r="E9" s="450"/>
      <c r="F9" s="450"/>
      <c r="G9" s="450"/>
      <c r="H9" s="163"/>
    </row>
    <row r="10" spans="1:12" x14ac:dyDescent="0.2">
      <c r="C10" s="57"/>
      <c r="D10" s="58"/>
      <c r="E10" s="57"/>
      <c r="F10" s="57"/>
      <c r="G10" s="54"/>
      <c r="H10" s="54"/>
    </row>
    <row r="11" spans="1:12" x14ac:dyDescent="0.2">
      <c r="A11" s="451" t="s">
        <v>677</v>
      </c>
      <c r="B11" s="451"/>
      <c r="C11" s="451"/>
      <c r="D11" s="451"/>
      <c r="E11" s="451"/>
      <c r="F11" s="451"/>
      <c r="G11" s="451"/>
      <c r="H11" s="164"/>
    </row>
    <row r="12" spans="1:12" ht="15" x14ac:dyDescent="0.25">
      <c r="A12" s="59"/>
      <c r="G12" s="54"/>
      <c r="H12" s="54" t="s">
        <v>109</v>
      </c>
      <c r="I12" s="48"/>
      <c r="J12" s="48"/>
    </row>
    <row r="13" spans="1:12" ht="22.5" x14ac:dyDescent="0.25">
      <c r="A13" s="84" t="s">
        <v>110</v>
      </c>
      <c r="B13" s="67" t="s">
        <v>111</v>
      </c>
      <c r="C13" s="68" t="s">
        <v>112</v>
      </c>
      <c r="D13" s="67" t="s">
        <v>113</v>
      </c>
      <c r="E13" s="68" t="s">
        <v>114</v>
      </c>
      <c r="F13" s="68" t="s">
        <v>115</v>
      </c>
      <c r="G13" s="130" t="s">
        <v>668</v>
      </c>
      <c r="H13" s="84" t="s">
        <v>669</v>
      </c>
      <c r="I13" s="48"/>
      <c r="J13" s="48"/>
    </row>
    <row r="14" spans="1:12" ht="15" x14ac:dyDescent="0.25">
      <c r="A14" s="61" t="s">
        <v>116</v>
      </c>
      <c r="B14" s="95"/>
      <c r="C14" s="217"/>
      <c r="D14" s="95"/>
      <c r="E14" s="217"/>
      <c r="F14" s="217"/>
      <c r="G14" s="138">
        <f>G15+G83+G161+G301+G353+G410+G617+G639+G654</f>
        <v>444737.35079999996</v>
      </c>
      <c r="H14" s="138">
        <f>H15+H83+H161+H301+H353+H410+H617+H639+H654</f>
        <v>435880.19419999997</v>
      </c>
      <c r="I14" s="48">
        <v>456140.9</v>
      </c>
      <c r="J14" s="2">
        <v>458821.3</v>
      </c>
      <c r="K14" s="148"/>
      <c r="L14" s="148"/>
    </row>
    <row r="15" spans="1:12" ht="31.5" x14ac:dyDescent="0.2">
      <c r="A15" s="112" t="s">
        <v>117</v>
      </c>
      <c r="B15" s="108" t="s">
        <v>118</v>
      </c>
      <c r="C15" s="127"/>
      <c r="D15" s="108"/>
      <c r="E15" s="127"/>
      <c r="F15" s="127"/>
      <c r="G15" s="132">
        <f>G16+G28</f>
        <v>46594.734399999994</v>
      </c>
      <c r="H15" s="346">
        <f>H16+H28</f>
        <v>45771.527600000001</v>
      </c>
      <c r="I15" s="233">
        <f>I14-G14</f>
        <v>11403.549200000067</v>
      </c>
      <c r="J15" s="233">
        <f>J14-H14</f>
        <v>22941.105800000019</v>
      </c>
    </row>
    <row r="16" spans="1:12" x14ac:dyDescent="0.2">
      <c r="A16" s="98" t="s">
        <v>241</v>
      </c>
      <c r="B16" s="106" t="s">
        <v>118</v>
      </c>
      <c r="C16" s="99" t="s">
        <v>242</v>
      </c>
      <c r="D16" s="99"/>
      <c r="E16" s="121"/>
      <c r="F16" s="121"/>
      <c r="G16" s="133">
        <f>G17</f>
        <v>11612.046399999999</v>
      </c>
      <c r="H16" s="347">
        <f>H17</f>
        <v>11494.8208</v>
      </c>
      <c r="I16" s="148"/>
      <c r="J16" s="148"/>
    </row>
    <row r="17" spans="1:9" x14ac:dyDescent="0.2">
      <c r="A17" s="116" t="s">
        <v>447</v>
      </c>
      <c r="B17" s="106" t="s">
        <v>118</v>
      </c>
      <c r="C17" s="97" t="s">
        <v>242</v>
      </c>
      <c r="D17" s="99" t="s">
        <v>188</v>
      </c>
      <c r="E17" s="97"/>
      <c r="F17" s="97"/>
      <c r="G17" s="133">
        <f>G18+G23</f>
        <v>11612.046399999999</v>
      </c>
      <c r="H17" s="347">
        <f>H18+H23</f>
        <v>11494.8208</v>
      </c>
      <c r="I17" s="211"/>
    </row>
    <row r="18" spans="1:9" x14ac:dyDescent="0.2">
      <c r="A18" s="100" t="s">
        <v>448</v>
      </c>
      <c r="B18" s="111" t="s">
        <v>118</v>
      </c>
      <c r="C18" s="102" t="s">
        <v>242</v>
      </c>
      <c r="D18" s="104" t="s">
        <v>188</v>
      </c>
      <c r="E18" s="102" t="s">
        <v>449</v>
      </c>
      <c r="F18" s="102" t="s">
        <v>184</v>
      </c>
      <c r="G18" s="134">
        <f t="shared" ref="G18:H21" si="0">G19</f>
        <v>11541.4</v>
      </c>
      <c r="H18" s="348">
        <f t="shared" si="0"/>
        <v>11425.6</v>
      </c>
      <c r="I18" s="148"/>
    </row>
    <row r="19" spans="1:9" x14ac:dyDescent="0.2">
      <c r="A19" s="83" t="s">
        <v>450</v>
      </c>
      <c r="B19" s="105" t="s">
        <v>118</v>
      </c>
      <c r="C19" s="84" t="s">
        <v>242</v>
      </c>
      <c r="D19" s="87" t="s">
        <v>188</v>
      </c>
      <c r="E19" s="84" t="s">
        <v>451</v>
      </c>
      <c r="F19" s="84" t="s">
        <v>184</v>
      </c>
      <c r="G19" s="135">
        <f t="shared" si="0"/>
        <v>11541.4</v>
      </c>
      <c r="H19" s="349">
        <f t="shared" si="0"/>
        <v>11425.6</v>
      </c>
      <c r="I19" s="148"/>
    </row>
    <row r="20" spans="1:9" ht="22.5" x14ac:dyDescent="0.2">
      <c r="A20" s="83" t="s">
        <v>129</v>
      </c>
      <c r="B20" s="105" t="s">
        <v>118</v>
      </c>
      <c r="C20" s="84" t="s">
        <v>242</v>
      </c>
      <c r="D20" s="87" t="s">
        <v>188</v>
      </c>
      <c r="E20" s="84" t="s">
        <v>451</v>
      </c>
      <c r="F20" s="84">
        <v>600</v>
      </c>
      <c r="G20" s="135">
        <f t="shared" si="0"/>
        <v>11541.4</v>
      </c>
      <c r="H20" s="349">
        <f t="shared" si="0"/>
        <v>11425.6</v>
      </c>
      <c r="I20" s="148"/>
    </row>
    <row r="21" spans="1:9" x14ac:dyDescent="0.2">
      <c r="A21" s="83" t="s">
        <v>131</v>
      </c>
      <c r="B21" s="105" t="s">
        <v>118</v>
      </c>
      <c r="C21" s="84" t="s">
        <v>242</v>
      </c>
      <c r="D21" s="87" t="s">
        <v>188</v>
      </c>
      <c r="E21" s="84" t="s">
        <v>451</v>
      </c>
      <c r="F21" s="84">
        <v>610</v>
      </c>
      <c r="G21" s="135">
        <f t="shared" si="0"/>
        <v>11541.4</v>
      </c>
      <c r="H21" s="349">
        <f t="shared" si="0"/>
        <v>11425.6</v>
      </c>
      <c r="I21" s="148"/>
    </row>
    <row r="22" spans="1:9" x14ac:dyDescent="0.2">
      <c r="A22" s="83" t="s">
        <v>567</v>
      </c>
      <c r="B22" s="105" t="s">
        <v>118</v>
      </c>
      <c r="C22" s="84" t="s">
        <v>242</v>
      </c>
      <c r="D22" s="87" t="s">
        <v>188</v>
      </c>
      <c r="E22" s="84" t="s">
        <v>451</v>
      </c>
      <c r="F22" s="84">
        <v>611</v>
      </c>
      <c r="G22" s="135">
        <v>11541.4</v>
      </c>
      <c r="H22" s="349">
        <v>11425.6</v>
      </c>
      <c r="I22" s="148"/>
    </row>
    <row r="23" spans="1:9" ht="33.75" x14ac:dyDescent="0.2">
      <c r="A23" s="83" t="s">
        <v>250</v>
      </c>
      <c r="B23" s="105" t="s">
        <v>118</v>
      </c>
      <c r="C23" s="84" t="s">
        <v>242</v>
      </c>
      <c r="D23" s="87" t="s">
        <v>188</v>
      </c>
      <c r="E23" s="84" t="s">
        <v>251</v>
      </c>
      <c r="F23" s="84"/>
      <c r="G23" s="135">
        <f>G24</f>
        <v>70.6464</v>
      </c>
      <c r="H23" s="349">
        <f>H24</f>
        <v>69.220800000000011</v>
      </c>
      <c r="I23" s="148"/>
    </row>
    <row r="24" spans="1:9" ht="38.25" x14ac:dyDescent="0.2">
      <c r="A24" s="331" t="s">
        <v>663</v>
      </c>
      <c r="B24" s="332" t="s">
        <v>118</v>
      </c>
      <c r="C24" s="230" t="s">
        <v>242</v>
      </c>
      <c r="D24" s="311" t="s">
        <v>188</v>
      </c>
      <c r="E24" s="230" t="s">
        <v>252</v>
      </c>
      <c r="F24" s="230"/>
      <c r="G24" s="309">
        <f>G25</f>
        <v>70.6464</v>
      </c>
      <c r="H24" s="350">
        <f>H25</f>
        <v>69.220800000000011</v>
      </c>
      <c r="I24" s="148"/>
    </row>
    <row r="25" spans="1:9" ht="22.5" x14ac:dyDescent="0.2">
      <c r="A25" s="83" t="s">
        <v>129</v>
      </c>
      <c r="B25" s="105" t="s">
        <v>118</v>
      </c>
      <c r="C25" s="84" t="s">
        <v>242</v>
      </c>
      <c r="D25" s="87" t="s">
        <v>188</v>
      </c>
      <c r="E25" s="84" t="s">
        <v>252</v>
      </c>
      <c r="F25" s="84">
        <v>600</v>
      </c>
      <c r="G25" s="135">
        <f>G27</f>
        <v>70.6464</v>
      </c>
      <c r="H25" s="349">
        <f>H27</f>
        <v>69.220800000000011</v>
      </c>
      <c r="I25" s="148"/>
    </row>
    <row r="26" spans="1:9" x14ac:dyDescent="0.2">
      <c r="A26" s="83" t="s">
        <v>131</v>
      </c>
      <c r="B26" s="105" t="s">
        <v>118</v>
      </c>
      <c r="C26" s="84" t="s">
        <v>242</v>
      </c>
      <c r="D26" s="87" t="s">
        <v>188</v>
      </c>
      <c r="E26" s="84" t="s">
        <v>252</v>
      </c>
      <c r="F26" s="84">
        <v>610</v>
      </c>
      <c r="G26" s="135">
        <f>G27</f>
        <v>70.6464</v>
      </c>
      <c r="H26" s="349">
        <f>H27</f>
        <v>69.220800000000011</v>
      </c>
      <c r="I26" s="148"/>
    </row>
    <row r="27" spans="1:9" ht="33.75" x14ac:dyDescent="0.2">
      <c r="A27" s="83" t="s">
        <v>133</v>
      </c>
      <c r="B27" s="105" t="s">
        <v>118</v>
      </c>
      <c r="C27" s="84" t="s">
        <v>242</v>
      </c>
      <c r="D27" s="87" t="s">
        <v>188</v>
      </c>
      <c r="E27" s="84" t="s">
        <v>252</v>
      </c>
      <c r="F27" s="84">
        <v>611</v>
      </c>
      <c r="G27" s="135">
        <f>79.2*89.2%</f>
        <v>70.6464</v>
      </c>
      <c r="H27" s="349">
        <f>79.2*87.4%</f>
        <v>69.220800000000011</v>
      </c>
      <c r="I27" s="148"/>
    </row>
    <row r="28" spans="1:9" x14ac:dyDescent="0.2">
      <c r="A28" s="128" t="s">
        <v>119</v>
      </c>
      <c r="B28" s="106" t="s">
        <v>118</v>
      </c>
      <c r="C28" s="99" t="s">
        <v>120</v>
      </c>
      <c r="D28" s="106"/>
      <c r="E28" s="121"/>
      <c r="F28" s="121"/>
      <c r="G28" s="133">
        <f>G29+G62</f>
        <v>34982.687999999995</v>
      </c>
      <c r="H28" s="347">
        <f>H29+H62</f>
        <v>34276.7068</v>
      </c>
      <c r="I28" s="148"/>
    </row>
    <row r="29" spans="1:9" x14ac:dyDescent="0.2">
      <c r="A29" s="98" t="s">
        <v>121</v>
      </c>
      <c r="B29" s="106" t="s">
        <v>118</v>
      </c>
      <c r="C29" s="99" t="s">
        <v>120</v>
      </c>
      <c r="D29" s="99" t="s">
        <v>122</v>
      </c>
      <c r="E29" s="97"/>
      <c r="F29" s="97"/>
      <c r="G29" s="133">
        <f>G30+G45</f>
        <v>25838.528399999996</v>
      </c>
      <c r="H29" s="347">
        <f>H30+H45</f>
        <v>25317.070600000003</v>
      </c>
      <c r="I29" s="210"/>
    </row>
    <row r="30" spans="1:9" x14ac:dyDescent="0.2">
      <c r="A30" s="98" t="s">
        <v>123</v>
      </c>
      <c r="B30" s="106" t="s">
        <v>118</v>
      </c>
      <c r="C30" s="99" t="s">
        <v>120</v>
      </c>
      <c r="D30" s="99" t="s">
        <v>122</v>
      </c>
      <c r="E30" s="97" t="s">
        <v>124</v>
      </c>
      <c r="F30" s="97"/>
      <c r="G30" s="133">
        <f>G31+G36+G50</f>
        <v>25740.408399999997</v>
      </c>
      <c r="H30" s="347">
        <f>H31+H36+H50</f>
        <v>25220.930600000003</v>
      </c>
    </row>
    <row r="31" spans="1:9" x14ac:dyDescent="0.2">
      <c r="A31" s="100" t="s">
        <v>125</v>
      </c>
      <c r="B31" s="111" t="s">
        <v>118</v>
      </c>
      <c r="C31" s="104" t="s">
        <v>120</v>
      </c>
      <c r="D31" s="104" t="s">
        <v>122</v>
      </c>
      <c r="E31" s="102" t="s">
        <v>126</v>
      </c>
      <c r="F31" s="102"/>
      <c r="G31" s="134">
        <f t="shared" ref="G31:H34" si="1">G32</f>
        <v>9543.8647999999994</v>
      </c>
      <c r="H31" s="348">
        <f t="shared" si="1"/>
        <v>9351.2756000000008</v>
      </c>
      <c r="I31" s="148"/>
    </row>
    <row r="32" spans="1:9" x14ac:dyDescent="0.2">
      <c r="A32" s="83" t="s">
        <v>127</v>
      </c>
      <c r="B32" s="105" t="s">
        <v>118</v>
      </c>
      <c r="C32" s="87" t="s">
        <v>120</v>
      </c>
      <c r="D32" s="87" t="s">
        <v>122</v>
      </c>
      <c r="E32" s="84" t="s">
        <v>128</v>
      </c>
      <c r="F32" s="84"/>
      <c r="G32" s="135">
        <f t="shared" si="1"/>
        <v>9543.8647999999994</v>
      </c>
      <c r="H32" s="349">
        <f t="shared" si="1"/>
        <v>9351.2756000000008</v>
      </c>
    </row>
    <row r="33" spans="1:9" ht="22.5" x14ac:dyDescent="0.2">
      <c r="A33" s="83" t="s">
        <v>129</v>
      </c>
      <c r="B33" s="105" t="s">
        <v>118</v>
      </c>
      <c r="C33" s="84" t="s">
        <v>120</v>
      </c>
      <c r="D33" s="87" t="s">
        <v>122</v>
      </c>
      <c r="E33" s="84" t="s">
        <v>128</v>
      </c>
      <c r="F33" s="84" t="s">
        <v>130</v>
      </c>
      <c r="G33" s="135">
        <f t="shared" si="1"/>
        <v>9543.8647999999994</v>
      </c>
      <c r="H33" s="349">
        <f t="shared" si="1"/>
        <v>9351.2756000000008</v>
      </c>
    </row>
    <row r="34" spans="1:9" x14ac:dyDescent="0.2">
      <c r="A34" s="83" t="s">
        <v>131</v>
      </c>
      <c r="B34" s="105" t="s">
        <v>118</v>
      </c>
      <c r="C34" s="84" t="s">
        <v>120</v>
      </c>
      <c r="D34" s="87" t="s">
        <v>122</v>
      </c>
      <c r="E34" s="84" t="s">
        <v>128</v>
      </c>
      <c r="F34" s="84" t="s">
        <v>132</v>
      </c>
      <c r="G34" s="135">
        <f t="shared" si="1"/>
        <v>9543.8647999999994</v>
      </c>
      <c r="H34" s="349">
        <f t="shared" si="1"/>
        <v>9351.2756000000008</v>
      </c>
    </row>
    <row r="35" spans="1:9" ht="33.75" x14ac:dyDescent="0.2">
      <c r="A35" s="83" t="s">
        <v>133</v>
      </c>
      <c r="B35" s="105" t="s">
        <v>118</v>
      </c>
      <c r="C35" s="84" t="s">
        <v>120</v>
      </c>
      <c r="D35" s="87" t="s">
        <v>122</v>
      </c>
      <c r="E35" s="84" t="s">
        <v>128</v>
      </c>
      <c r="F35" s="84" t="s">
        <v>134</v>
      </c>
      <c r="G35" s="135">
        <f>10699.4*89.2%</f>
        <v>9543.8647999999994</v>
      </c>
      <c r="H35" s="349">
        <f>10699.4*87.4%</f>
        <v>9351.2756000000008</v>
      </c>
      <c r="I35" s="148"/>
    </row>
    <row r="36" spans="1:9" ht="22.5" x14ac:dyDescent="0.2">
      <c r="A36" s="83" t="s">
        <v>135</v>
      </c>
      <c r="B36" s="105" t="s">
        <v>118</v>
      </c>
      <c r="C36" s="87" t="s">
        <v>120</v>
      </c>
      <c r="D36" s="87" t="s">
        <v>122</v>
      </c>
      <c r="E36" s="84" t="s">
        <v>136</v>
      </c>
      <c r="F36" s="84"/>
      <c r="G36" s="135">
        <f>G37</f>
        <v>15857.583599999998</v>
      </c>
      <c r="H36" s="349">
        <f>H37</f>
        <v>15537.535000000002</v>
      </c>
      <c r="I36" s="210"/>
    </row>
    <row r="37" spans="1:9" x14ac:dyDescent="0.2">
      <c r="A37" s="83" t="s">
        <v>137</v>
      </c>
      <c r="B37" s="105" t="s">
        <v>118</v>
      </c>
      <c r="C37" s="87" t="s">
        <v>120</v>
      </c>
      <c r="D37" s="87" t="s">
        <v>122</v>
      </c>
      <c r="E37" s="84" t="s">
        <v>138</v>
      </c>
      <c r="F37" s="84"/>
      <c r="G37" s="135">
        <f>G38+G42</f>
        <v>15857.583599999998</v>
      </c>
      <c r="H37" s="349">
        <f>H38+H42</f>
        <v>15537.535000000002</v>
      </c>
    </row>
    <row r="38" spans="1:9" ht="33.75" x14ac:dyDescent="0.2">
      <c r="A38" s="83" t="s">
        <v>139</v>
      </c>
      <c r="B38" s="105" t="s">
        <v>118</v>
      </c>
      <c r="C38" s="87" t="s">
        <v>120</v>
      </c>
      <c r="D38" s="87" t="s">
        <v>122</v>
      </c>
      <c r="E38" s="84" t="s">
        <v>138</v>
      </c>
      <c r="F38" s="84" t="s">
        <v>140</v>
      </c>
      <c r="G38" s="135">
        <f>G39</f>
        <v>2362.2835999999998</v>
      </c>
      <c r="H38" s="349">
        <f>H39</f>
        <v>2314.6142</v>
      </c>
      <c r="I38" s="210"/>
    </row>
    <row r="39" spans="1:9" x14ac:dyDescent="0.2">
      <c r="A39" s="83" t="s">
        <v>141</v>
      </c>
      <c r="B39" s="105" t="s">
        <v>118</v>
      </c>
      <c r="C39" s="87" t="s">
        <v>120</v>
      </c>
      <c r="D39" s="87" t="s">
        <v>122</v>
      </c>
      <c r="E39" s="84" t="s">
        <v>138</v>
      </c>
      <c r="F39" s="84">
        <v>110</v>
      </c>
      <c r="G39" s="135">
        <f>G40+G41</f>
        <v>2362.2835999999998</v>
      </c>
      <c r="H39" s="349">
        <f>H40+H41</f>
        <v>2314.6142</v>
      </c>
    </row>
    <row r="40" spans="1:9" x14ac:dyDescent="0.2">
      <c r="A40" s="83" t="s">
        <v>142</v>
      </c>
      <c r="B40" s="105" t="s">
        <v>118</v>
      </c>
      <c r="C40" s="87" t="s">
        <v>120</v>
      </c>
      <c r="D40" s="87" t="s">
        <v>122</v>
      </c>
      <c r="E40" s="84" t="s">
        <v>138</v>
      </c>
      <c r="F40" s="84">
        <v>111</v>
      </c>
      <c r="G40" s="135">
        <f>2034*89.2%</f>
        <v>1814.328</v>
      </c>
      <c r="H40" s="349">
        <f>2034*87.4%</f>
        <v>1777.7160000000001</v>
      </c>
    </row>
    <row r="41" spans="1:9" ht="22.5" x14ac:dyDescent="0.2">
      <c r="A41" s="114" t="s">
        <v>143</v>
      </c>
      <c r="B41" s="105" t="s">
        <v>118</v>
      </c>
      <c r="C41" s="87" t="s">
        <v>120</v>
      </c>
      <c r="D41" s="87" t="s">
        <v>122</v>
      </c>
      <c r="E41" s="84" t="s">
        <v>138</v>
      </c>
      <c r="F41" s="84">
        <v>119</v>
      </c>
      <c r="G41" s="135">
        <f>614.3*89.2%</f>
        <v>547.9556</v>
      </c>
      <c r="H41" s="349">
        <f>614.3*87.4%</f>
        <v>536.89819999999997</v>
      </c>
    </row>
    <row r="42" spans="1:9" ht="22.5" x14ac:dyDescent="0.2">
      <c r="A42" s="83" t="s">
        <v>129</v>
      </c>
      <c r="B42" s="105" t="s">
        <v>118</v>
      </c>
      <c r="C42" s="84" t="s">
        <v>120</v>
      </c>
      <c r="D42" s="87" t="s">
        <v>122</v>
      </c>
      <c r="E42" s="84" t="s">
        <v>138</v>
      </c>
      <c r="F42" s="84" t="s">
        <v>130</v>
      </c>
      <c r="G42" s="135">
        <f>G43</f>
        <v>13495.3</v>
      </c>
      <c r="H42" s="349">
        <f>H43</f>
        <v>13222.920800000002</v>
      </c>
    </row>
    <row r="43" spans="1:9" x14ac:dyDescent="0.2">
      <c r="A43" s="83" t="s">
        <v>131</v>
      </c>
      <c r="B43" s="105" t="s">
        <v>118</v>
      </c>
      <c r="C43" s="84" t="s">
        <v>120</v>
      </c>
      <c r="D43" s="87" t="s">
        <v>122</v>
      </c>
      <c r="E43" s="84" t="s">
        <v>138</v>
      </c>
      <c r="F43" s="84" t="s">
        <v>132</v>
      </c>
      <c r="G43" s="135">
        <f>G44</f>
        <v>13495.3</v>
      </c>
      <c r="H43" s="349">
        <f>H44</f>
        <v>13222.920800000002</v>
      </c>
    </row>
    <row r="44" spans="1:9" ht="33.75" x14ac:dyDescent="0.2">
      <c r="A44" s="83" t="s">
        <v>133</v>
      </c>
      <c r="B44" s="105" t="s">
        <v>118</v>
      </c>
      <c r="C44" s="84" t="s">
        <v>120</v>
      </c>
      <c r="D44" s="87" t="s">
        <v>122</v>
      </c>
      <c r="E44" s="84" t="s">
        <v>138</v>
      </c>
      <c r="F44" s="84" t="s">
        <v>134</v>
      </c>
      <c r="G44" s="135">
        <v>13495.3</v>
      </c>
      <c r="H44" s="349">
        <f>15129.2*87.4%</f>
        <v>13222.920800000002</v>
      </c>
      <c r="I44" s="148"/>
    </row>
    <row r="45" spans="1:9" x14ac:dyDescent="0.2">
      <c r="A45" s="100" t="s">
        <v>155</v>
      </c>
      <c r="B45" s="104" t="s">
        <v>118</v>
      </c>
      <c r="C45" s="104" t="s">
        <v>120</v>
      </c>
      <c r="D45" s="104" t="s">
        <v>122</v>
      </c>
      <c r="E45" s="226" t="s">
        <v>156</v>
      </c>
      <c r="F45" s="102"/>
      <c r="G45" s="134">
        <f>G46+G58</f>
        <v>98.12</v>
      </c>
      <c r="H45" s="348">
        <f>H46+H58</f>
        <v>96.140000000000015</v>
      </c>
      <c r="I45" s="148"/>
    </row>
    <row r="46" spans="1:9" x14ac:dyDescent="0.2">
      <c r="A46" s="115" t="s">
        <v>157</v>
      </c>
      <c r="B46" s="105" t="s">
        <v>118</v>
      </c>
      <c r="C46" s="87" t="s">
        <v>120</v>
      </c>
      <c r="D46" s="87" t="s">
        <v>122</v>
      </c>
      <c r="E46" s="84" t="s">
        <v>571</v>
      </c>
      <c r="F46" s="84"/>
      <c r="G46" s="135">
        <f t="shared" ref="G46:H48" si="2">G47</f>
        <v>5.8872</v>
      </c>
      <c r="H46" s="349">
        <f t="shared" si="2"/>
        <v>5.7684000000000006</v>
      </c>
      <c r="I46" s="148"/>
    </row>
    <row r="47" spans="1:9" ht="33.75" x14ac:dyDescent="0.2">
      <c r="A47" s="83" t="s">
        <v>139</v>
      </c>
      <c r="B47" s="105" t="s">
        <v>118</v>
      </c>
      <c r="C47" s="87" t="s">
        <v>120</v>
      </c>
      <c r="D47" s="87" t="s">
        <v>122</v>
      </c>
      <c r="E47" s="84" t="s">
        <v>158</v>
      </c>
      <c r="F47" s="84">
        <v>100</v>
      </c>
      <c r="G47" s="135">
        <f t="shared" si="2"/>
        <v>5.8872</v>
      </c>
      <c r="H47" s="349">
        <f t="shared" si="2"/>
        <v>5.7684000000000006</v>
      </c>
      <c r="I47" s="148"/>
    </row>
    <row r="48" spans="1:9" x14ac:dyDescent="0.2">
      <c r="A48" s="83" t="s">
        <v>141</v>
      </c>
      <c r="B48" s="105" t="s">
        <v>118</v>
      </c>
      <c r="C48" s="87" t="s">
        <v>120</v>
      </c>
      <c r="D48" s="87" t="s">
        <v>122</v>
      </c>
      <c r="E48" s="84" t="s">
        <v>158</v>
      </c>
      <c r="F48" s="84">
        <v>110</v>
      </c>
      <c r="G48" s="135">
        <f t="shared" si="2"/>
        <v>5.8872</v>
      </c>
      <c r="H48" s="349">
        <f t="shared" si="2"/>
        <v>5.7684000000000006</v>
      </c>
      <c r="I48" s="148"/>
    </row>
    <row r="49" spans="1:9" x14ac:dyDescent="0.2">
      <c r="A49" s="115" t="s">
        <v>565</v>
      </c>
      <c r="B49" s="105" t="s">
        <v>118</v>
      </c>
      <c r="C49" s="87" t="s">
        <v>120</v>
      </c>
      <c r="D49" s="87" t="s">
        <v>122</v>
      </c>
      <c r="E49" s="84" t="s">
        <v>158</v>
      </c>
      <c r="F49" s="84">
        <v>112</v>
      </c>
      <c r="G49" s="135">
        <f>6.6*89.2%</f>
        <v>5.8872</v>
      </c>
      <c r="H49" s="349">
        <f>6.6*87.4%</f>
        <v>5.7684000000000006</v>
      </c>
      <c r="I49" s="148"/>
    </row>
    <row r="50" spans="1:9" ht="22.5" x14ac:dyDescent="0.2">
      <c r="A50" s="83" t="s">
        <v>144</v>
      </c>
      <c r="B50" s="105" t="s">
        <v>118</v>
      </c>
      <c r="C50" s="87" t="s">
        <v>120</v>
      </c>
      <c r="D50" s="87" t="s">
        <v>122</v>
      </c>
      <c r="E50" s="84" t="s">
        <v>145</v>
      </c>
      <c r="F50" s="84"/>
      <c r="G50" s="135">
        <f>G51</f>
        <v>338.96</v>
      </c>
      <c r="H50" s="349">
        <f>H51</f>
        <v>332.12</v>
      </c>
      <c r="I50" s="148"/>
    </row>
    <row r="51" spans="1:9" ht="22.5" x14ac:dyDescent="0.2">
      <c r="A51" s="83" t="s">
        <v>146</v>
      </c>
      <c r="B51" s="105" t="s">
        <v>118</v>
      </c>
      <c r="C51" s="87" t="s">
        <v>120</v>
      </c>
      <c r="D51" s="87" t="s">
        <v>122</v>
      </c>
      <c r="E51" s="84" t="s">
        <v>147</v>
      </c>
      <c r="F51" s="84"/>
      <c r="G51" s="135">
        <f>G52+G55</f>
        <v>338.96</v>
      </c>
      <c r="H51" s="349">
        <f>H52+H55</f>
        <v>332.12</v>
      </c>
    </row>
    <row r="52" spans="1:9" ht="33.75" x14ac:dyDescent="0.2">
      <c r="A52" s="83" t="s">
        <v>139</v>
      </c>
      <c r="B52" s="105" t="s">
        <v>118</v>
      </c>
      <c r="C52" s="87" t="s">
        <v>120</v>
      </c>
      <c r="D52" s="87" t="s">
        <v>122</v>
      </c>
      <c r="E52" s="84" t="s">
        <v>147</v>
      </c>
      <c r="F52" s="84">
        <v>100</v>
      </c>
      <c r="G52" s="135">
        <f>G53</f>
        <v>74.927999999999997</v>
      </c>
      <c r="H52" s="349">
        <f>H53</f>
        <v>73.416000000000011</v>
      </c>
    </row>
    <row r="53" spans="1:9" x14ac:dyDescent="0.2">
      <c r="A53" s="83" t="s">
        <v>141</v>
      </c>
      <c r="B53" s="105" t="s">
        <v>118</v>
      </c>
      <c r="C53" s="87" t="s">
        <v>120</v>
      </c>
      <c r="D53" s="87" t="s">
        <v>122</v>
      </c>
      <c r="E53" s="84" t="s">
        <v>147</v>
      </c>
      <c r="F53" s="84">
        <v>110</v>
      </c>
      <c r="G53" s="135">
        <f>+G54</f>
        <v>74.927999999999997</v>
      </c>
      <c r="H53" s="349">
        <f>+H54</f>
        <v>73.416000000000011</v>
      </c>
    </row>
    <row r="54" spans="1:9" x14ac:dyDescent="0.2">
      <c r="A54" s="115" t="s">
        <v>565</v>
      </c>
      <c r="B54" s="105" t="s">
        <v>118</v>
      </c>
      <c r="C54" s="87" t="s">
        <v>120</v>
      </c>
      <c r="D54" s="87" t="s">
        <v>122</v>
      </c>
      <c r="E54" s="84" t="s">
        <v>147</v>
      </c>
      <c r="F54" s="84">
        <v>112</v>
      </c>
      <c r="G54" s="135">
        <f>84*89.2%</f>
        <v>74.927999999999997</v>
      </c>
      <c r="H54" s="349">
        <f>84*87.4%</f>
        <v>73.416000000000011</v>
      </c>
    </row>
    <row r="55" spans="1:9" x14ac:dyDescent="0.2">
      <c r="A55" s="83" t="s">
        <v>650</v>
      </c>
      <c r="B55" s="105" t="s">
        <v>118</v>
      </c>
      <c r="C55" s="87" t="s">
        <v>120</v>
      </c>
      <c r="D55" s="87" t="s">
        <v>122</v>
      </c>
      <c r="E55" s="84" t="s">
        <v>147</v>
      </c>
      <c r="F55" s="84" t="s">
        <v>150</v>
      </c>
      <c r="G55" s="135">
        <f>G56</f>
        <v>264.03199999999998</v>
      </c>
      <c r="H55" s="349">
        <f>H56</f>
        <v>258.70400000000001</v>
      </c>
      <c r="I55" s="149"/>
    </row>
    <row r="56" spans="1:9" ht="22.5" x14ac:dyDescent="0.2">
      <c r="A56" s="83" t="s">
        <v>151</v>
      </c>
      <c r="B56" s="105" t="s">
        <v>118</v>
      </c>
      <c r="C56" s="87" t="s">
        <v>120</v>
      </c>
      <c r="D56" s="87" t="s">
        <v>122</v>
      </c>
      <c r="E56" s="84" t="s">
        <v>147</v>
      </c>
      <c r="F56" s="84" t="s">
        <v>152</v>
      </c>
      <c r="G56" s="135">
        <f>G57</f>
        <v>264.03199999999998</v>
      </c>
      <c r="H56" s="349">
        <f>H57</f>
        <v>258.70400000000001</v>
      </c>
    </row>
    <row r="57" spans="1:9" ht="22.5" x14ac:dyDescent="0.2">
      <c r="A57" s="115" t="s">
        <v>153</v>
      </c>
      <c r="B57" s="105" t="s">
        <v>118</v>
      </c>
      <c r="C57" s="87" t="s">
        <v>120</v>
      </c>
      <c r="D57" s="87" t="s">
        <v>122</v>
      </c>
      <c r="E57" s="84" t="s">
        <v>147</v>
      </c>
      <c r="F57" s="84" t="s">
        <v>154</v>
      </c>
      <c r="G57" s="135">
        <f>296*89.2%</f>
        <v>264.03199999999998</v>
      </c>
      <c r="H57" s="349">
        <f>296*87.4%</f>
        <v>258.70400000000001</v>
      </c>
    </row>
    <row r="58" spans="1:9" x14ac:dyDescent="0.2">
      <c r="A58" s="115" t="s">
        <v>157</v>
      </c>
      <c r="B58" s="105" t="s">
        <v>118</v>
      </c>
      <c r="C58" s="87" t="s">
        <v>120</v>
      </c>
      <c r="D58" s="87" t="s">
        <v>122</v>
      </c>
      <c r="E58" s="84" t="s">
        <v>158</v>
      </c>
      <c r="F58" s="84"/>
      <c r="G58" s="135">
        <f t="shared" ref="G58:H60" si="3">G59</f>
        <v>92.232800000000012</v>
      </c>
      <c r="H58" s="349">
        <f t="shared" si="3"/>
        <v>90.371600000000015</v>
      </c>
      <c r="I58" s="148"/>
    </row>
    <row r="59" spans="1:9" ht="22.5" x14ac:dyDescent="0.2">
      <c r="A59" s="83" t="s">
        <v>129</v>
      </c>
      <c r="B59" s="105" t="s">
        <v>118</v>
      </c>
      <c r="C59" s="87" t="s">
        <v>120</v>
      </c>
      <c r="D59" s="87" t="s">
        <v>122</v>
      </c>
      <c r="E59" s="84" t="s">
        <v>158</v>
      </c>
      <c r="F59" s="84">
        <v>600</v>
      </c>
      <c r="G59" s="135">
        <f t="shared" si="3"/>
        <v>92.232800000000012</v>
      </c>
      <c r="H59" s="349">
        <f t="shared" si="3"/>
        <v>90.371600000000015</v>
      </c>
    </row>
    <row r="60" spans="1:9" x14ac:dyDescent="0.2">
      <c r="A60" s="83" t="s">
        <v>131</v>
      </c>
      <c r="B60" s="105" t="s">
        <v>118</v>
      </c>
      <c r="C60" s="87" t="s">
        <v>120</v>
      </c>
      <c r="D60" s="87" t="s">
        <v>122</v>
      </c>
      <c r="E60" s="84" t="s">
        <v>158</v>
      </c>
      <c r="F60" s="84">
        <v>610</v>
      </c>
      <c r="G60" s="135">
        <f t="shared" si="3"/>
        <v>92.232800000000012</v>
      </c>
      <c r="H60" s="349">
        <f t="shared" si="3"/>
        <v>90.371600000000015</v>
      </c>
    </row>
    <row r="61" spans="1:9" ht="33.75" x14ac:dyDescent="0.2">
      <c r="A61" s="83" t="s">
        <v>133</v>
      </c>
      <c r="B61" s="105" t="s">
        <v>118</v>
      </c>
      <c r="C61" s="87" t="s">
        <v>120</v>
      </c>
      <c r="D61" s="87" t="s">
        <v>122</v>
      </c>
      <c r="E61" s="84" t="s">
        <v>158</v>
      </c>
      <c r="F61" s="84">
        <v>611</v>
      </c>
      <c r="G61" s="135">
        <f>103.4*89.2%</f>
        <v>92.232800000000012</v>
      </c>
      <c r="H61" s="349">
        <f>103.4*87.4%</f>
        <v>90.371600000000015</v>
      </c>
    </row>
    <row r="62" spans="1:9" x14ac:dyDescent="0.2">
      <c r="A62" s="98" t="s">
        <v>159</v>
      </c>
      <c r="B62" s="106" t="s">
        <v>118</v>
      </c>
      <c r="C62" s="97" t="s">
        <v>120</v>
      </c>
      <c r="D62" s="99" t="s">
        <v>160</v>
      </c>
      <c r="E62" s="97"/>
      <c r="F62" s="97"/>
      <c r="G62" s="133">
        <f>G68+G63</f>
        <v>9144.1595999999972</v>
      </c>
      <c r="H62" s="347">
        <f>H68+H63</f>
        <v>8959.6362000000008</v>
      </c>
      <c r="I62" s="148"/>
    </row>
    <row r="63" spans="1:9" x14ac:dyDescent="0.2">
      <c r="A63" s="114" t="s">
        <v>161</v>
      </c>
      <c r="B63" s="105" t="s">
        <v>118</v>
      </c>
      <c r="C63" s="87" t="s">
        <v>120</v>
      </c>
      <c r="D63" s="87" t="s">
        <v>160</v>
      </c>
      <c r="E63" s="84" t="s">
        <v>162</v>
      </c>
      <c r="F63" s="84"/>
      <c r="G63" s="135">
        <f t="shared" ref="G63:H66" si="4">G64</f>
        <v>196.24</v>
      </c>
      <c r="H63" s="349">
        <f t="shared" si="4"/>
        <v>192.28000000000003</v>
      </c>
    </row>
    <row r="64" spans="1:9" ht="24" x14ac:dyDescent="0.2">
      <c r="A64" s="129" t="s">
        <v>163</v>
      </c>
      <c r="B64" s="105" t="s">
        <v>118</v>
      </c>
      <c r="C64" s="87" t="s">
        <v>120</v>
      </c>
      <c r="D64" s="87" t="s">
        <v>160</v>
      </c>
      <c r="E64" s="84" t="s">
        <v>164</v>
      </c>
      <c r="F64" s="84"/>
      <c r="G64" s="135">
        <f t="shared" si="4"/>
        <v>196.24</v>
      </c>
      <c r="H64" s="349">
        <f t="shared" si="4"/>
        <v>192.28000000000003</v>
      </c>
    </row>
    <row r="65" spans="1:9" x14ac:dyDescent="0.2">
      <c r="A65" s="83" t="s">
        <v>650</v>
      </c>
      <c r="B65" s="105" t="s">
        <v>118</v>
      </c>
      <c r="C65" s="87" t="s">
        <v>120</v>
      </c>
      <c r="D65" s="87" t="s">
        <v>160</v>
      </c>
      <c r="E65" s="84" t="s">
        <v>164</v>
      </c>
      <c r="F65" s="84" t="s">
        <v>150</v>
      </c>
      <c r="G65" s="135">
        <f t="shared" si="4"/>
        <v>196.24</v>
      </c>
      <c r="H65" s="349">
        <f t="shared" si="4"/>
        <v>192.28000000000003</v>
      </c>
    </row>
    <row r="66" spans="1:9" ht="22.5" x14ac:dyDescent="0.2">
      <c r="A66" s="83" t="s">
        <v>151</v>
      </c>
      <c r="B66" s="105" t="s">
        <v>118</v>
      </c>
      <c r="C66" s="87" t="s">
        <v>120</v>
      </c>
      <c r="D66" s="87" t="s">
        <v>160</v>
      </c>
      <c r="E66" s="84" t="s">
        <v>164</v>
      </c>
      <c r="F66" s="84" t="s">
        <v>152</v>
      </c>
      <c r="G66" s="135">
        <f t="shared" si="4"/>
        <v>196.24</v>
      </c>
      <c r="H66" s="349">
        <f t="shared" si="4"/>
        <v>192.28000000000003</v>
      </c>
    </row>
    <row r="67" spans="1:9" ht="22.5" x14ac:dyDescent="0.2">
      <c r="A67" s="115" t="s">
        <v>153</v>
      </c>
      <c r="B67" s="105" t="s">
        <v>118</v>
      </c>
      <c r="C67" s="87" t="s">
        <v>120</v>
      </c>
      <c r="D67" s="87" t="s">
        <v>160</v>
      </c>
      <c r="E67" s="84" t="s">
        <v>164</v>
      </c>
      <c r="F67" s="84" t="s">
        <v>154</v>
      </c>
      <c r="G67" s="135">
        <f>220*89.2%</f>
        <v>196.24</v>
      </c>
      <c r="H67" s="349">
        <f>220*87.4%</f>
        <v>192.28000000000003</v>
      </c>
    </row>
    <row r="68" spans="1:9" ht="22.5" x14ac:dyDescent="0.2">
      <c r="A68" s="83" t="s">
        <v>144</v>
      </c>
      <c r="B68" s="105" t="s">
        <v>118</v>
      </c>
      <c r="C68" s="87" t="s">
        <v>120</v>
      </c>
      <c r="D68" s="87" t="s">
        <v>160</v>
      </c>
      <c r="E68" s="84" t="s">
        <v>145</v>
      </c>
      <c r="F68" s="84"/>
      <c r="G68" s="135">
        <f>G69+G74</f>
        <v>8947.9195999999974</v>
      </c>
      <c r="H68" s="349">
        <f>H69+H74</f>
        <v>8767.3562000000002</v>
      </c>
    </row>
    <row r="69" spans="1:9" ht="22.5" x14ac:dyDescent="0.2">
      <c r="A69" s="100" t="s">
        <v>165</v>
      </c>
      <c r="B69" s="111" t="s">
        <v>118</v>
      </c>
      <c r="C69" s="102" t="s">
        <v>120</v>
      </c>
      <c r="D69" s="104" t="s">
        <v>160</v>
      </c>
      <c r="E69" s="102" t="s">
        <v>166</v>
      </c>
      <c r="F69" s="102"/>
      <c r="G69" s="134">
        <f>G70</f>
        <v>437.34760000000006</v>
      </c>
      <c r="H69" s="348">
        <f>H70</f>
        <v>428.52220000000005</v>
      </c>
    </row>
    <row r="70" spans="1:9" ht="33.75" x14ac:dyDescent="0.2">
      <c r="A70" s="83" t="s">
        <v>139</v>
      </c>
      <c r="B70" s="105" t="s">
        <v>118</v>
      </c>
      <c r="C70" s="84" t="s">
        <v>120</v>
      </c>
      <c r="D70" s="87" t="s">
        <v>160</v>
      </c>
      <c r="E70" s="84" t="s">
        <v>167</v>
      </c>
      <c r="F70" s="84">
        <v>100</v>
      </c>
      <c r="G70" s="135">
        <f>G71</f>
        <v>437.34760000000006</v>
      </c>
      <c r="H70" s="349">
        <f>H71</f>
        <v>428.52220000000005</v>
      </c>
      <c r="I70" s="148"/>
    </row>
    <row r="71" spans="1:9" x14ac:dyDescent="0.2">
      <c r="A71" s="83" t="s">
        <v>168</v>
      </c>
      <c r="B71" s="105" t="s">
        <v>118</v>
      </c>
      <c r="C71" s="84" t="s">
        <v>120</v>
      </c>
      <c r="D71" s="87" t="s">
        <v>160</v>
      </c>
      <c r="E71" s="84" t="s">
        <v>167</v>
      </c>
      <c r="F71" s="84">
        <v>120</v>
      </c>
      <c r="G71" s="135">
        <f>G72+G73</f>
        <v>437.34760000000006</v>
      </c>
      <c r="H71" s="349">
        <f>H72+H73</f>
        <v>428.52220000000005</v>
      </c>
    </row>
    <row r="72" spans="1:9" x14ac:dyDescent="0.2">
      <c r="A72" s="114" t="s">
        <v>169</v>
      </c>
      <c r="B72" s="105" t="s">
        <v>118</v>
      </c>
      <c r="C72" s="84" t="s">
        <v>120</v>
      </c>
      <c r="D72" s="87" t="s">
        <v>160</v>
      </c>
      <c r="E72" s="84" t="s">
        <v>167</v>
      </c>
      <c r="F72" s="84">
        <v>121</v>
      </c>
      <c r="G72" s="135">
        <f>376.6*89.2%</f>
        <v>335.92720000000003</v>
      </c>
      <c r="H72" s="349">
        <f>376.6*87.4%</f>
        <v>329.14840000000004</v>
      </c>
    </row>
    <row r="73" spans="1:9" ht="33.75" x14ac:dyDescent="0.2">
      <c r="A73" s="114" t="s">
        <v>170</v>
      </c>
      <c r="B73" s="105" t="s">
        <v>118</v>
      </c>
      <c r="C73" s="84" t="s">
        <v>120</v>
      </c>
      <c r="D73" s="87" t="s">
        <v>160</v>
      </c>
      <c r="E73" s="84" t="s">
        <v>167</v>
      </c>
      <c r="F73" s="84">
        <v>129</v>
      </c>
      <c r="G73" s="135">
        <f>113.7*89.2%</f>
        <v>101.4204</v>
      </c>
      <c r="H73" s="349">
        <f>113.7*87.4%</f>
        <v>99.373800000000017</v>
      </c>
    </row>
    <row r="74" spans="1:9" ht="22.5" x14ac:dyDescent="0.2">
      <c r="A74" s="100" t="s">
        <v>146</v>
      </c>
      <c r="B74" s="111" t="s">
        <v>118</v>
      </c>
      <c r="C74" s="102" t="s">
        <v>120</v>
      </c>
      <c r="D74" s="104" t="s">
        <v>160</v>
      </c>
      <c r="E74" s="102" t="s">
        <v>177</v>
      </c>
      <c r="F74" s="102"/>
      <c r="G74" s="134">
        <f>G75+G79</f>
        <v>8510.5719999999983</v>
      </c>
      <c r="H74" s="348">
        <f>H75+H79</f>
        <v>8338.8340000000007</v>
      </c>
    </row>
    <row r="75" spans="1:9" ht="33.75" x14ac:dyDescent="0.2">
      <c r="A75" s="83" t="s">
        <v>139</v>
      </c>
      <c r="B75" s="105" t="s">
        <v>118</v>
      </c>
      <c r="C75" s="84" t="s">
        <v>120</v>
      </c>
      <c r="D75" s="87" t="s">
        <v>160</v>
      </c>
      <c r="E75" s="84" t="s">
        <v>178</v>
      </c>
      <c r="F75" s="84">
        <v>100</v>
      </c>
      <c r="G75" s="135">
        <f>G76</f>
        <v>8385.6919999999991</v>
      </c>
      <c r="H75" s="349">
        <f>H76</f>
        <v>8216.4740000000002</v>
      </c>
      <c r="I75" s="148"/>
    </row>
    <row r="76" spans="1:9" x14ac:dyDescent="0.2">
      <c r="A76" s="83" t="s">
        <v>141</v>
      </c>
      <c r="B76" s="105" t="s">
        <v>118</v>
      </c>
      <c r="C76" s="84" t="s">
        <v>120</v>
      </c>
      <c r="D76" s="87" t="s">
        <v>160</v>
      </c>
      <c r="E76" s="84" t="s">
        <v>178</v>
      </c>
      <c r="F76" s="84">
        <v>110</v>
      </c>
      <c r="G76" s="135">
        <f>G77+G78</f>
        <v>8385.6919999999991</v>
      </c>
      <c r="H76" s="349">
        <f>H77+H78</f>
        <v>8216.4740000000002</v>
      </c>
    </row>
    <row r="77" spans="1:9" x14ac:dyDescent="0.2">
      <c r="A77" s="83" t="s">
        <v>142</v>
      </c>
      <c r="B77" s="105" t="s">
        <v>118</v>
      </c>
      <c r="C77" s="84" t="s">
        <v>120</v>
      </c>
      <c r="D77" s="87" t="s">
        <v>160</v>
      </c>
      <c r="E77" s="84" t="s">
        <v>178</v>
      </c>
      <c r="F77" s="84">
        <v>111</v>
      </c>
      <c r="G77" s="135">
        <f>7220.5*89.2%</f>
        <v>6440.6859999999997</v>
      </c>
      <c r="H77" s="349">
        <f>7220.5*87.4%</f>
        <v>6310.7170000000006</v>
      </c>
    </row>
    <row r="78" spans="1:9" ht="22.5" x14ac:dyDescent="0.2">
      <c r="A78" s="114" t="s">
        <v>143</v>
      </c>
      <c r="B78" s="105" t="s">
        <v>118</v>
      </c>
      <c r="C78" s="84" t="s">
        <v>120</v>
      </c>
      <c r="D78" s="87" t="s">
        <v>160</v>
      </c>
      <c r="E78" s="84" t="s">
        <v>178</v>
      </c>
      <c r="F78" s="84">
        <v>119</v>
      </c>
      <c r="G78" s="135">
        <f>2180.5*89.2%</f>
        <v>1945.0060000000001</v>
      </c>
      <c r="H78" s="349">
        <f>2180.5*87.4%</f>
        <v>1905.7570000000003</v>
      </c>
    </row>
    <row r="79" spans="1:9" x14ac:dyDescent="0.2">
      <c r="A79" s="83" t="s">
        <v>650</v>
      </c>
      <c r="B79" s="105" t="s">
        <v>118</v>
      </c>
      <c r="C79" s="84" t="s">
        <v>120</v>
      </c>
      <c r="D79" s="87" t="s">
        <v>160</v>
      </c>
      <c r="E79" s="84" t="s">
        <v>179</v>
      </c>
      <c r="F79" s="84" t="s">
        <v>150</v>
      </c>
      <c r="G79" s="135">
        <f>SUM(G80)</f>
        <v>124.88000000000001</v>
      </c>
      <c r="H79" s="349">
        <f>SUM(H80)</f>
        <v>122.36000000000001</v>
      </c>
    </row>
    <row r="80" spans="1:9" ht="22.5" x14ac:dyDescent="0.2">
      <c r="A80" s="83" t="s">
        <v>151</v>
      </c>
      <c r="B80" s="105" t="s">
        <v>118</v>
      </c>
      <c r="C80" s="84" t="s">
        <v>120</v>
      </c>
      <c r="D80" s="87" t="s">
        <v>160</v>
      </c>
      <c r="E80" s="84" t="s">
        <v>179</v>
      </c>
      <c r="F80" s="84" t="s">
        <v>152</v>
      </c>
      <c r="G80" s="135">
        <f>G82+G81</f>
        <v>124.88000000000001</v>
      </c>
      <c r="H80" s="349">
        <f>H82+H81</f>
        <v>122.36000000000001</v>
      </c>
    </row>
    <row r="81" spans="1:13" ht="22.5" x14ac:dyDescent="0.2">
      <c r="A81" s="115" t="s">
        <v>171</v>
      </c>
      <c r="B81" s="105" t="s">
        <v>118</v>
      </c>
      <c r="C81" s="84" t="s">
        <v>120</v>
      </c>
      <c r="D81" s="87" t="s">
        <v>160</v>
      </c>
      <c r="E81" s="84" t="s">
        <v>179</v>
      </c>
      <c r="F81" s="84">
        <v>242</v>
      </c>
      <c r="G81" s="135">
        <f>110*89.2%</f>
        <v>98.12</v>
      </c>
      <c r="H81" s="349">
        <f>110*87.4%</f>
        <v>96.140000000000015</v>
      </c>
    </row>
    <row r="82" spans="1:13" ht="22.5" x14ac:dyDescent="0.2">
      <c r="A82" s="115" t="s">
        <v>153</v>
      </c>
      <c r="B82" s="105" t="s">
        <v>118</v>
      </c>
      <c r="C82" s="84" t="s">
        <v>120</v>
      </c>
      <c r="D82" s="87" t="s">
        <v>160</v>
      </c>
      <c r="E82" s="84" t="s">
        <v>179</v>
      </c>
      <c r="F82" s="84" t="s">
        <v>154</v>
      </c>
      <c r="G82" s="135">
        <f>30*89.2%</f>
        <v>26.76</v>
      </c>
      <c r="H82" s="349">
        <f>30*87.4%</f>
        <v>26.220000000000002</v>
      </c>
    </row>
    <row r="83" spans="1:13" ht="21" x14ac:dyDescent="0.2">
      <c r="A83" s="112" t="s">
        <v>180</v>
      </c>
      <c r="B83" s="110" t="s">
        <v>181</v>
      </c>
      <c r="C83" s="109" t="s">
        <v>182</v>
      </c>
      <c r="D83" s="110" t="s">
        <v>182</v>
      </c>
      <c r="E83" s="109" t="s">
        <v>183</v>
      </c>
      <c r="F83" s="109" t="s">
        <v>184</v>
      </c>
      <c r="G83" s="132">
        <f>G84</f>
        <v>58235.517599999992</v>
      </c>
      <c r="H83" s="346">
        <f>H84</f>
        <v>57060.324000000001</v>
      </c>
      <c r="I83" s="233"/>
    </row>
    <row r="84" spans="1:13" x14ac:dyDescent="0.2">
      <c r="A84" s="61" t="s">
        <v>185</v>
      </c>
      <c r="B84" s="94" t="s">
        <v>181</v>
      </c>
      <c r="C84" s="96" t="s">
        <v>186</v>
      </c>
      <c r="D84" s="94" t="s">
        <v>182</v>
      </c>
      <c r="E84" s="96" t="s">
        <v>183</v>
      </c>
      <c r="F84" s="96" t="s">
        <v>184</v>
      </c>
      <c r="G84" s="138">
        <f>G85+G128+G134</f>
        <v>58235.517599999992</v>
      </c>
      <c r="H84" s="345">
        <f>H85+H128+H134</f>
        <v>57060.324000000001</v>
      </c>
      <c r="I84" s="148"/>
      <c r="J84" s="148"/>
    </row>
    <row r="85" spans="1:13" x14ac:dyDescent="0.2">
      <c r="A85" s="61" t="s">
        <v>187</v>
      </c>
      <c r="B85" s="94" t="s">
        <v>181</v>
      </c>
      <c r="C85" s="96" t="s">
        <v>186</v>
      </c>
      <c r="D85" s="94" t="s">
        <v>188</v>
      </c>
      <c r="E85" s="96"/>
      <c r="F85" s="96"/>
      <c r="G85" s="138">
        <f>G86</f>
        <v>25770.899999999998</v>
      </c>
      <c r="H85" s="345">
        <f>H86</f>
        <v>25936.800000000003</v>
      </c>
    </row>
    <row r="86" spans="1:13" ht="21" x14ac:dyDescent="0.2">
      <c r="A86" s="61" t="s">
        <v>189</v>
      </c>
      <c r="B86" s="94" t="s">
        <v>181</v>
      </c>
      <c r="C86" s="96">
        <v>10</v>
      </c>
      <c r="D86" s="94" t="s">
        <v>188</v>
      </c>
      <c r="E86" s="96" t="s">
        <v>190</v>
      </c>
      <c r="F86" s="96"/>
      <c r="G86" s="138">
        <f>G87+G106</f>
        <v>25770.899999999998</v>
      </c>
      <c r="H86" s="345">
        <f>H87+H106</f>
        <v>25936.800000000003</v>
      </c>
      <c r="I86" s="148"/>
    </row>
    <row r="87" spans="1:13" ht="22.5" x14ac:dyDescent="0.2">
      <c r="A87" s="304" t="s">
        <v>191</v>
      </c>
      <c r="B87" s="315" t="s">
        <v>181</v>
      </c>
      <c r="C87" s="315" t="s">
        <v>186</v>
      </c>
      <c r="D87" s="315" t="s">
        <v>188</v>
      </c>
      <c r="E87" s="315" t="s">
        <v>192</v>
      </c>
      <c r="F87" s="317"/>
      <c r="G87" s="316">
        <f>G88+G93+G101</f>
        <v>17532.699999999997</v>
      </c>
      <c r="H87" s="352">
        <f>H88+H93+H101</f>
        <v>17645.500000000004</v>
      </c>
    </row>
    <row r="88" spans="1:13" s="79" customFormat="1" ht="22.5" x14ac:dyDescent="0.2">
      <c r="A88" s="304" t="s">
        <v>193</v>
      </c>
      <c r="B88" s="315" t="s">
        <v>181</v>
      </c>
      <c r="C88" s="315" t="s">
        <v>186</v>
      </c>
      <c r="D88" s="315" t="s">
        <v>188</v>
      </c>
      <c r="E88" s="315" t="s">
        <v>194</v>
      </c>
      <c r="F88" s="317"/>
      <c r="G88" s="316">
        <f>G89</f>
        <v>6965.6</v>
      </c>
      <c r="H88" s="352">
        <f>H89</f>
        <v>7010.4</v>
      </c>
      <c r="I88" s="151"/>
      <c r="J88" s="151"/>
      <c r="K88" s="151"/>
      <c r="L88" s="151"/>
      <c r="M88" s="151"/>
    </row>
    <row r="89" spans="1:13" s="79" customFormat="1" ht="11.25" x14ac:dyDescent="0.2">
      <c r="A89" s="314" t="s">
        <v>195</v>
      </c>
      <c r="B89" s="315" t="s">
        <v>181</v>
      </c>
      <c r="C89" s="315" t="s">
        <v>186</v>
      </c>
      <c r="D89" s="315" t="s">
        <v>188</v>
      </c>
      <c r="E89" s="315" t="s">
        <v>196</v>
      </c>
      <c r="F89" s="317"/>
      <c r="G89" s="316">
        <f>G90</f>
        <v>6965.6</v>
      </c>
      <c r="H89" s="352">
        <f>H90</f>
        <v>7010.4</v>
      </c>
      <c r="I89" s="151"/>
      <c r="J89" s="151"/>
      <c r="K89" s="151"/>
      <c r="L89" s="151"/>
      <c r="M89" s="151"/>
    </row>
    <row r="90" spans="1:13" s="79" customFormat="1" ht="11.25" x14ac:dyDescent="0.2">
      <c r="A90" s="314" t="s">
        <v>197</v>
      </c>
      <c r="B90" s="315" t="s">
        <v>181</v>
      </c>
      <c r="C90" s="315" t="s">
        <v>186</v>
      </c>
      <c r="D90" s="315" t="s">
        <v>188</v>
      </c>
      <c r="E90" s="315" t="s">
        <v>196</v>
      </c>
      <c r="F90" s="315" t="s">
        <v>198</v>
      </c>
      <c r="G90" s="316">
        <f>G92</f>
        <v>6965.6</v>
      </c>
      <c r="H90" s="352">
        <f>H92</f>
        <v>7010.4</v>
      </c>
      <c r="I90" s="151"/>
      <c r="J90" s="151"/>
      <c r="K90" s="151"/>
      <c r="L90" s="151"/>
      <c r="M90" s="151"/>
    </row>
    <row r="91" spans="1:13" s="79" customFormat="1" ht="11.25" x14ac:dyDescent="0.2">
      <c r="A91" s="314" t="s">
        <v>199</v>
      </c>
      <c r="B91" s="315" t="s">
        <v>181</v>
      </c>
      <c r="C91" s="315" t="s">
        <v>186</v>
      </c>
      <c r="D91" s="315" t="s">
        <v>188</v>
      </c>
      <c r="E91" s="315" t="s">
        <v>196</v>
      </c>
      <c r="F91" s="317">
        <v>310</v>
      </c>
      <c r="G91" s="316">
        <f>G92</f>
        <v>6965.6</v>
      </c>
      <c r="H91" s="352">
        <f>H92</f>
        <v>7010.4</v>
      </c>
      <c r="I91" s="151"/>
      <c r="J91" s="151"/>
      <c r="K91" s="151"/>
      <c r="L91" s="151"/>
      <c r="M91" s="151"/>
    </row>
    <row r="92" spans="1:13" s="79" customFormat="1" ht="33.75" x14ac:dyDescent="0.2">
      <c r="A92" s="374" t="s">
        <v>572</v>
      </c>
      <c r="B92" s="315" t="s">
        <v>181</v>
      </c>
      <c r="C92" s="315" t="s">
        <v>186</v>
      </c>
      <c r="D92" s="315" t="s">
        <v>188</v>
      </c>
      <c r="E92" s="315" t="s">
        <v>196</v>
      </c>
      <c r="F92" s="317">
        <v>313</v>
      </c>
      <c r="G92" s="316">
        <v>6965.6</v>
      </c>
      <c r="H92" s="352">
        <v>7010.4</v>
      </c>
      <c r="I92" s="151"/>
      <c r="J92" s="151"/>
      <c r="K92" s="151"/>
      <c r="L92" s="151"/>
      <c r="M92" s="151"/>
    </row>
    <row r="93" spans="1:13" s="79" customFormat="1" ht="22.5" x14ac:dyDescent="0.2">
      <c r="A93" s="304" t="s">
        <v>204</v>
      </c>
      <c r="B93" s="305" t="s">
        <v>181</v>
      </c>
      <c r="C93" s="306">
        <v>10</v>
      </c>
      <c r="D93" s="305" t="s">
        <v>188</v>
      </c>
      <c r="E93" s="306" t="s">
        <v>205</v>
      </c>
      <c r="F93" s="306" t="s">
        <v>184</v>
      </c>
      <c r="G93" s="307">
        <f>G94</f>
        <v>10320</v>
      </c>
      <c r="H93" s="354">
        <f>H94</f>
        <v>10386.400000000001</v>
      </c>
      <c r="I93" s="151"/>
      <c r="J93" s="151"/>
      <c r="K93" s="151"/>
      <c r="L93" s="151"/>
      <c r="M93" s="151"/>
    </row>
    <row r="94" spans="1:13" s="79" customFormat="1" ht="22.5" x14ac:dyDescent="0.2">
      <c r="A94" s="304" t="s">
        <v>73</v>
      </c>
      <c r="B94" s="305" t="s">
        <v>181</v>
      </c>
      <c r="C94" s="306" t="s">
        <v>186</v>
      </c>
      <c r="D94" s="305" t="s">
        <v>188</v>
      </c>
      <c r="E94" s="306" t="s">
        <v>206</v>
      </c>
      <c r="F94" s="306"/>
      <c r="G94" s="307">
        <f>G95+G98</f>
        <v>10320</v>
      </c>
      <c r="H94" s="354">
        <f>H95+H98</f>
        <v>10386.400000000001</v>
      </c>
      <c r="I94" s="151"/>
      <c r="J94" s="151"/>
      <c r="K94" s="151"/>
      <c r="L94" s="151"/>
      <c r="M94" s="151"/>
    </row>
    <row r="95" spans="1:13" x14ac:dyDescent="0.2">
      <c r="A95" s="308" t="s">
        <v>650</v>
      </c>
      <c r="B95" s="305" t="s">
        <v>181</v>
      </c>
      <c r="C95" s="306" t="s">
        <v>186</v>
      </c>
      <c r="D95" s="305" t="s">
        <v>188</v>
      </c>
      <c r="E95" s="306" t="s">
        <v>206</v>
      </c>
      <c r="F95" s="306" t="s">
        <v>150</v>
      </c>
      <c r="G95" s="307">
        <f>SUM(G96)</f>
        <v>166.7</v>
      </c>
      <c r="H95" s="354">
        <f>SUM(H96)</f>
        <v>166.7</v>
      </c>
    </row>
    <row r="96" spans="1:13" s="79" customFormat="1" ht="22.5" x14ac:dyDescent="0.2">
      <c r="A96" s="308" t="s">
        <v>151</v>
      </c>
      <c r="B96" s="305" t="s">
        <v>181</v>
      </c>
      <c r="C96" s="306" t="s">
        <v>186</v>
      </c>
      <c r="D96" s="305" t="s">
        <v>188</v>
      </c>
      <c r="E96" s="306" t="s">
        <v>206</v>
      </c>
      <c r="F96" s="306" t="s">
        <v>152</v>
      </c>
      <c r="G96" s="307">
        <f>G97</f>
        <v>166.7</v>
      </c>
      <c r="H96" s="354">
        <f>H97</f>
        <v>166.7</v>
      </c>
      <c r="I96" s="151"/>
      <c r="J96" s="151"/>
      <c r="K96" s="151"/>
      <c r="L96" s="151"/>
      <c r="M96" s="151"/>
    </row>
    <row r="97" spans="1:13" s="79" customFormat="1" ht="22.5" x14ac:dyDescent="0.2">
      <c r="A97" s="376" t="s">
        <v>153</v>
      </c>
      <c r="B97" s="305" t="s">
        <v>181</v>
      </c>
      <c r="C97" s="306" t="s">
        <v>186</v>
      </c>
      <c r="D97" s="305" t="s">
        <v>188</v>
      </c>
      <c r="E97" s="306" t="s">
        <v>206</v>
      </c>
      <c r="F97" s="306" t="s">
        <v>154</v>
      </c>
      <c r="G97" s="307">
        <v>166.7</v>
      </c>
      <c r="H97" s="354">
        <v>166.7</v>
      </c>
      <c r="I97" s="151"/>
      <c r="J97" s="151"/>
      <c r="K97" s="151"/>
      <c r="L97" s="151"/>
      <c r="M97" s="151"/>
    </row>
    <row r="98" spans="1:13" s="79" customFormat="1" ht="11.25" x14ac:dyDescent="0.2">
      <c r="A98" s="314" t="s">
        <v>197</v>
      </c>
      <c r="B98" s="305" t="s">
        <v>181</v>
      </c>
      <c r="C98" s="306" t="s">
        <v>186</v>
      </c>
      <c r="D98" s="305" t="s">
        <v>188</v>
      </c>
      <c r="E98" s="306" t="s">
        <v>206</v>
      </c>
      <c r="F98" s="306">
        <v>300</v>
      </c>
      <c r="G98" s="307">
        <f>G99</f>
        <v>10153.299999999999</v>
      </c>
      <c r="H98" s="354">
        <f>H99</f>
        <v>10219.700000000001</v>
      </c>
      <c r="I98" s="151"/>
      <c r="J98" s="151"/>
      <c r="K98" s="151"/>
      <c r="L98" s="151"/>
      <c r="M98" s="151"/>
    </row>
    <row r="99" spans="1:13" x14ac:dyDescent="0.2">
      <c r="A99" s="314" t="s">
        <v>199</v>
      </c>
      <c r="B99" s="305" t="s">
        <v>181</v>
      </c>
      <c r="C99" s="306" t="s">
        <v>186</v>
      </c>
      <c r="D99" s="305" t="s">
        <v>188</v>
      </c>
      <c r="E99" s="306" t="s">
        <v>206</v>
      </c>
      <c r="F99" s="306">
        <v>310</v>
      </c>
      <c r="G99" s="307">
        <f>G100</f>
        <v>10153.299999999999</v>
      </c>
      <c r="H99" s="354">
        <f>H100</f>
        <v>10219.700000000001</v>
      </c>
    </row>
    <row r="100" spans="1:13" ht="22.5" x14ac:dyDescent="0.2">
      <c r="A100" s="374" t="s">
        <v>200</v>
      </c>
      <c r="B100" s="305" t="s">
        <v>181</v>
      </c>
      <c r="C100" s="306">
        <v>10</v>
      </c>
      <c r="D100" s="305" t="s">
        <v>188</v>
      </c>
      <c r="E100" s="306" t="s">
        <v>206</v>
      </c>
      <c r="F100" s="306">
        <v>313</v>
      </c>
      <c r="G100" s="307">
        <v>10153.299999999999</v>
      </c>
      <c r="H100" s="354">
        <v>10219.700000000001</v>
      </c>
    </row>
    <row r="101" spans="1:13" ht="22.5" x14ac:dyDescent="0.2">
      <c r="A101" s="314" t="s">
        <v>207</v>
      </c>
      <c r="B101" s="315" t="s">
        <v>181</v>
      </c>
      <c r="C101" s="315" t="s">
        <v>186</v>
      </c>
      <c r="D101" s="315" t="s">
        <v>188</v>
      </c>
      <c r="E101" s="315" t="s">
        <v>208</v>
      </c>
      <c r="F101" s="315"/>
      <c r="G101" s="316">
        <f>G103</f>
        <v>247.1</v>
      </c>
      <c r="H101" s="352">
        <f>H103</f>
        <v>248.7</v>
      </c>
    </row>
    <row r="102" spans="1:13" ht="22.5" x14ac:dyDescent="0.2">
      <c r="A102" s="314" t="s">
        <v>662</v>
      </c>
      <c r="B102" s="315" t="s">
        <v>181</v>
      </c>
      <c r="C102" s="315" t="s">
        <v>186</v>
      </c>
      <c r="D102" s="315" t="s">
        <v>188</v>
      </c>
      <c r="E102" s="315" t="s">
        <v>209</v>
      </c>
      <c r="F102" s="315"/>
      <c r="G102" s="316">
        <f t="shared" ref="G102:H104" si="5">G103</f>
        <v>247.1</v>
      </c>
      <c r="H102" s="352">
        <f t="shared" si="5"/>
        <v>248.7</v>
      </c>
    </row>
    <row r="103" spans="1:13" x14ac:dyDescent="0.2">
      <c r="A103" s="314" t="s">
        <v>197</v>
      </c>
      <c r="B103" s="315" t="s">
        <v>181</v>
      </c>
      <c r="C103" s="315" t="s">
        <v>186</v>
      </c>
      <c r="D103" s="315" t="s">
        <v>188</v>
      </c>
      <c r="E103" s="315" t="s">
        <v>209</v>
      </c>
      <c r="F103" s="315" t="s">
        <v>198</v>
      </c>
      <c r="G103" s="316">
        <f t="shared" si="5"/>
        <v>247.1</v>
      </c>
      <c r="H103" s="352">
        <f t="shared" si="5"/>
        <v>248.7</v>
      </c>
    </row>
    <row r="104" spans="1:13" x14ac:dyDescent="0.2">
      <c r="A104" s="314" t="s">
        <v>199</v>
      </c>
      <c r="B104" s="315" t="s">
        <v>181</v>
      </c>
      <c r="C104" s="315" t="s">
        <v>186</v>
      </c>
      <c r="D104" s="315" t="s">
        <v>188</v>
      </c>
      <c r="E104" s="315" t="s">
        <v>209</v>
      </c>
      <c r="F104" s="317">
        <v>310</v>
      </c>
      <c r="G104" s="316">
        <f t="shared" si="5"/>
        <v>247.1</v>
      </c>
      <c r="H104" s="352">
        <f t="shared" si="5"/>
        <v>248.7</v>
      </c>
    </row>
    <row r="105" spans="1:13" ht="22.5" x14ac:dyDescent="0.2">
      <c r="A105" s="374" t="s">
        <v>200</v>
      </c>
      <c r="B105" s="315" t="s">
        <v>181</v>
      </c>
      <c r="C105" s="315" t="s">
        <v>186</v>
      </c>
      <c r="D105" s="315" t="s">
        <v>188</v>
      </c>
      <c r="E105" s="315" t="s">
        <v>209</v>
      </c>
      <c r="F105" s="317">
        <v>313</v>
      </c>
      <c r="G105" s="316">
        <v>247.1</v>
      </c>
      <c r="H105" s="352">
        <v>248.7</v>
      </c>
    </row>
    <row r="106" spans="1:13" ht="21" x14ac:dyDescent="0.2">
      <c r="A106" s="375" t="s">
        <v>210</v>
      </c>
      <c r="B106" s="305" t="s">
        <v>181</v>
      </c>
      <c r="C106" s="306">
        <v>10</v>
      </c>
      <c r="D106" s="305" t="s">
        <v>188</v>
      </c>
      <c r="E106" s="306" t="s">
        <v>211</v>
      </c>
      <c r="F106" s="306"/>
      <c r="G106" s="307">
        <f>G107+G115+G120</f>
        <v>8238.2000000000007</v>
      </c>
      <c r="H106" s="354">
        <f>H107+H115+H120</f>
        <v>8291.2999999999993</v>
      </c>
    </row>
    <row r="107" spans="1:13" s="79" customFormat="1" ht="22.5" x14ac:dyDescent="0.2">
      <c r="A107" s="314" t="s">
        <v>212</v>
      </c>
      <c r="B107" s="315" t="s">
        <v>181</v>
      </c>
      <c r="C107" s="315" t="s">
        <v>186</v>
      </c>
      <c r="D107" s="315" t="s">
        <v>188</v>
      </c>
      <c r="E107" s="315" t="s">
        <v>213</v>
      </c>
      <c r="F107" s="315"/>
      <c r="G107" s="316">
        <f>G108</f>
        <v>4515.6000000000004</v>
      </c>
      <c r="H107" s="352">
        <f>H108</f>
        <v>4544.7</v>
      </c>
      <c r="I107" s="151"/>
      <c r="J107" s="151"/>
      <c r="K107" s="151"/>
      <c r="L107" s="151"/>
      <c r="M107" s="151"/>
    </row>
    <row r="108" spans="1:13" s="79" customFormat="1" ht="22.5" x14ac:dyDescent="0.2">
      <c r="A108" s="314" t="s">
        <v>78</v>
      </c>
      <c r="B108" s="315" t="s">
        <v>181</v>
      </c>
      <c r="C108" s="315" t="s">
        <v>186</v>
      </c>
      <c r="D108" s="315" t="s">
        <v>188</v>
      </c>
      <c r="E108" s="315" t="s">
        <v>214</v>
      </c>
      <c r="F108" s="315"/>
      <c r="G108" s="316">
        <f>G109+G112</f>
        <v>4515.6000000000004</v>
      </c>
      <c r="H108" s="352">
        <f>H109+H112</f>
        <v>4544.7</v>
      </c>
      <c r="I108" s="151"/>
      <c r="J108" s="151"/>
      <c r="K108" s="151"/>
      <c r="L108" s="151"/>
      <c r="M108" s="151"/>
    </row>
    <row r="109" spans="1:13" s="79" customFormat="1" ht="11.25" x14ac:dyDescent="0.2">
      <c r="A109" s="308" t="s">
        <v>650</v>
      </c>
      <c r="B109" s="305" t="s">
        <v>181</v>
      </c>
      <c r="C109" s="306" t="s">
        <v>186</v>
      </c>
      <c r="D109" s="305" t="s">
        <v>188</v>
      </c>
      <c r="E109" s="315" t="s">
        <v>214</v>
      </c>
      <c r="F109" s="306" t="s">
        <v>150</v>
      </c>
      <c r="G109" s="307">
        <f>SUM(G110)</f>
        <v>95</v>
      </c>
      <c r="H109" s="354">
        <f>SUM(H110)</f>
        <v>95</v>
      </c>
      <c r="I109" s="151"/>
      <c r="J109" s="151"/>
      <c r="K109" s="151"/>
      <c r="L109" s="151"/>
      <c r="M109" s="151"/>
    </row>
    <row r="110" spans="1:13" s="79" customFormat="1" ht="22.5" x14ac:dyDescent="0.2">
      <c r="A110" s="308" t="s">
        <v>151</v>
      </c>
      <c r="B110" s="305" t="s">
        <v>181</v>
      </c>
      <c r="C110" s="306" t="s">
        <v>186</v>
      </c>
      <c r="D110" s="305" t="s">
        <v>188</v>
      </c>
      <c r="E110" s="315" t="s">
        <v>214</v>
      </c>
      <c r="F110" s="306" t="s">
        <v>152</v>
      </c>
      <c r="G110" s="307">
        <f>G111</f>
        <v>95</v>
      </c>
      <c r="H110" s="354">
        <f>H111</f>
        <v>95</v>
      </c>
      <c r="I110" s="151"/>
      <c r="J110" s="151"/>
      <c r="K110" s="151"/>
      <c r="L110" s="151"/>
      <c r="M110" s="151"/>
    </row>
    <row r="111" spans="1:13" s="79" customFormat="1" ht="22.5" x14ac:dyDescent="0.2">
      <c r="A111" s="376" t="s">
        <v>153</v>
      </c>
      <c r="B111" s="305" t="s">
        <v>181</v>
      </c>
      <c r="C111" s="306" t="s">
        <v>186</v>
      </c>
      <c r="D111" s="305" t="s">
        <v>188</v>
      </c>
      <c r="E111" s="315" t="s">
        <v>214</v>
      </c>
      <c r="F111" s="306" t="s">
        <v>154</v>
      </c>
      <c r="G111" s="307">
        <v>95</v>
      </c>
      <c r="H111" s="354">
        <v>95</v>
      </c>
      <c r="I111" s="151"/>
      <c r="J111" s="151"/>
      <c r="K111" s="151"/>
      <c r="L111" s="151"/>
      <c r="M111" s="151"/>
    </row>
    <row r="112" spans="1:13" x14ac:dyDescent="0.2">
      <c r="A112" s="314" t="s">
        <v>197</v>
      </c>
      <c r="B112" s="315" t="s">
        <v>181</v>
      </c>
      <c r="C112" s="315" t="s">
        <v>186</v>
      </c>
      <c r="D112" s="315" t="s">
        <v>188</v>
      </c>
      <c r="E112" s="315" t="s">
        <v>214</v>
      </c>
      <c r="F112" s="315" t="s">
        <v>198</v>
      </c>
      <c r="G112" s="316">
        <f>G113</f>
        <v>4420.6000000000004</v>
      </c>
      <c r="H112" s="352">
        <f>H113</f>
        <v>4449.7</v>
      </c>
    </row>
    <row r="113" spans="1:13" s="79" customFormat="1" ht="11.25" x14ac:dyDescent="0.2">
      <c r="A113" s="314" t="s">
        <v>199</v>
      </c>
      <c r="B113" s="315" t="s">
        <v>181</v>
      </c>
      <c r="C113" s="315" t="s">
        <v>186</v>
      </c>
      <c r="D113" s="315" t="s">
        <v>188</v>
      </c>
      <c r="E113" s="315" t="s">
        <v>214</v>
      </c>
      <c r="F113" s="317">
        <v>310</v>
      </c>
      <c r="G113" s="316">
        <f>G114</f>
        <v>4420.6000000000004</v>
      </c>
      <c r="H113" s="352">
        <f>H114</f>
        <v>4449.7</v>
      </c>
      <c r="I113" s="151"/>
      <c r="J113" s="151"/>
      <c r="K113" s="151"/>
      <c r="L113" s="151"/>
      <c r="M113" s="151"/>
    </row>
    <row r="114" spans="1:13" s="79" customFormat="1" ht="22.5" x14ac:dyDescent="0.2">
      <c r="A114" s="374" t="s">
        <v>200</v>
      </c>
      <c r="B114" s="315" t="s">
        <v>181</v>
      </c>
      <c r="C114" s="315" t="s">
        <v>186</v>
      </c>
      <c r="D114" s="315" t="s">
        <v>188</v>
      </c>
      <c r="E114" s="315" t="s">
        <v>214</v>
      </c>
      <c r="F114" s="317">
        <v>313</v>
      </c>
      <c r="G114" s="316">
        <v>4420.6000000000004</v>
      </c>
      <c r="H114" s="352">
        <v>4449.7</v>
      </c>
      <c r="I114" s="151"/>
      <c r="J114" s="151"/>
      <c r="K114" s="151"/>
      <c r="L114" s="151"/>
      <c r="M114" s="151"/>
    </row>
    <row r="115" spans="1:13" ht="33.75" x14ac:dyDescent="0.2">
      <c r="A115" s="314" t="s">
        <v>215</v>
      </c>
      <c r="B115" s="315" t="s">
        <v>181</v>
      </c>
      <c r="C115" s="315" t="s">
        <v>186</v>
      </c>
      <c r="D115" s="315" t="s">
        <v>188</v>
      </c>
      <c r="E115" s="315" t="s">
        <v>216</v>
      </c>
      <c r="F115" s="315"/>
      <c r="G115" s="316">
        <f t="shared" ref="G115:H118" si="6">G116</f>
        <v>31.4</v>
      </c>
      <c r="H115" s="352">
        <f t="shared" si="6"/>
        <v>31.6</v>
      </c>
    </row>
    <row r="116" spans="1:13" ht="33.75" x14ac:dyDescent="0.2">
      <c r="A116" s="314" t="s">
        <v>71</v>
      </c>
      <c r="B116" s="315" t="s">
        <v>181</v>
      </c>
      <c r="C116" s="315" t="s">
        <v>186</v>
      </c>
      <c r="D116" s="315" t="s">
        <v>188</v>
      </c>
      <c r="E116" s="315" t="s">
        <v>217</v>
      </c>
      <c r="F116" s="315"/>
      <c r="G116" s="316">
        <f t="shared" si="6"/>
        <v>31.4</v>
      </c>
      <c r="H116" s="352">
        <f t="shared" si="6"/>
        <v>31.6</v>
      </c>
    </row>
    <row r="117" spans="1:13" x14ac:dyDescent="0.2">
      <c r="A117" s="314" t="s">
        <v>197</v>
      </c>
      <c r="B117" s="315" t="s">
        <v>181</v>
      </c>
      <c r="C117" s="315" t="s">
        <v>186</v>
      </c>
      <c r="D117" s="315" t="s">
        <v>188</v>
      </c>
      <c r="E117" s="315" t="s">
        <v>217</v>
      </c>
      <c r="F117" s="315" t="s">
        <v>198</v>
      </c>
      <c r="G117" s="316">
        <f t="shared" si="6"/>
        <v>31.4</v>
      </c>
      <c r="H117" s="352">
        <f t="shared" si="6"/>
        <v>31.6</v>
      </c>
    </row>
    <row r="118" spans="1:13" s="79" customFormat="1" ht="11.25" x14ac:dyDescent="0.2">
      <c r="A118" s="314" t="s">
        <v>199</v>
      </c>
      <c r="B118" s="315" t="s">
        <v>181</v>
      </c>
      <c r="C118" s="315" t="s">
        <v>186</v>
      </c>
      <c r="D118" s="315" t="s">
        <v>188</v>
      </c>
      <c r="E118" s="315" t="s">
        <v>217</v>
      </c>
      <c r="F118" s="317">
        <v>310</v>
      </c>
      <c r="G118" s="316">
        <f t="shared" si="6"/>
        <v>31.4</v>
      </c>
      <c r="H118" s="352">
        <f t="shared" si="6"/>
        <v>31.6</v>
      </c>
      <c r="I118" s="151"/>
      <c r="J118" s="151"/>
      <c r="K118" s="151"/>
      <c r="L118" s="151"/>
      <c r="M118" s="151"/>
    </row>
    <row r="119" spans="1:13" s="79" customFormat="1" ht="22.5" x14ac:dyDescent="0.2">
      <c r="A119" s="374" t="s">
        <v>200</v>
      </c>
      <c r="B119" s="315" t="s">
        <v>181</v>
      </c>
      <c r="C119" s="315" t="s">
        <v>186</v>
      </c>
      <c r="D119" s="315" t="s">
        <v>188</v>
      </c>
      <c r="E119" s="315" t="s">
        <v>217</v>
      </c>
      <c r="F119" s="317">
        <v>313</v>
      </c>
      <c r="G119" s="316">
        <v>31.4</v>
      </c>
      <c r="H119" s="352">
        <v>31.6</v>
      </c>
      <c r="I119" s="151"/>
      <c r="J119" s="151"/>
      <c r="K119" s="151"/>
      <c r="L119" s="151"/>
      <c r="M119" s="151"/>
    </row>
    <row r="120" spans="1:13" s="79" customFormat="1" ht="22.5" x14ac:dyDescent="0.2">
      <c r="A120" s="304" t="s">
        <v>218</v>
      </c>
      <c r="B120" s="315" t="s">
        <v>181</v>
      </c>
      <c r="C120" s="315" t="s">
        <v>186</v>
      </c>
      <c r="D120" s="315" t="s">
        <v>188</v>
      </c>
      <c r="E120" s="315" t="s">
        <v>219</v>
      </c>
      <c r="F120" s="317"/>
      <c r="G120" s="316">
        <f>G121</f>
        <v>3691.2</v>
      </c>
      <c r="H120" s="352">
        <f>H121</f>
        <v>3715</v>
      </c>
      <c r="I120" s="151"/>
      <c r="J120" s="151"/>
      <c r="K120" s="151"/>
      <c r="L120" s="151"/>
      <c r="M120" s="151"/>
    </row>
    <row r="121" spans="1:13" s="81" customFormat="1" ht="22.5" x14ac:dyDescent="0.2">
      <c r="A121" s="318" t="s">
        <v>70</v>
      </c>
      <c r="B121" s="315" t="s">
        <v>181</v>
      </c>
      <c r="C121" s="315" t="s">
        <v>186</v>
      </c>
      <c r="D121" s="315" t="s">
        <v>188</v>
      </c>
      <c r="E121" s="306" t="s">
        <v>220</v>
      </c>
      <c r="F121" s="306"/>
      <c r="G121" s="307">
        <f>G125+G122</f>
        <v>3691.2</v>
      </c>
      <c r="H121" s="354">
        <f>H125+H122</f>
        <v>3715</v>
      </c>
      <c r="I121" s="152"/>
      <c r="J121" s="152"/>
      <c r="K121" s="152"/>
      <c r="L121" s="152"/>
      <c r="M121" s="152"/>
    </row>
    <row r="122" spans="1:13" s="81" customFormat="1" ht="11.25" x14ac:dyDescent="0.2">
      <c r="A122" s="308" t="s">
        <v>650</v>
      </c>
      <c r="B122" s="305" t="s">
        <v>181</v>
      </c>
      <c r="C122" s="306" t="s">
        <v>186</v>
      </c>
      <c r="D122" s="305" t="s">
        <v>188</v>
      </c>
      <c r="E122" s="306" t="s">
        <v>220</v>
      </c>
      <c r="F122" s="306" t="s">
        <v>150</v>
      </c>
      <c r="G122" s="307">
        <f>SUM(G123)</f>
        <v>83</v>
      </c>
      <c r="H122" s="354">
        <f>SUM(H123)</f>
        <v>83</v>
      </c>
      <c r="I122" s="152"/>
      <c r="J122" s="152"/>
      <c r="K122" s="152"/>
      <c r="L122" s="152"/>
      <c r="M122" s="152"/>
    </row>
    <row r="123" spans="1:13" s="79" customFormat="1" ht="22.5" x14ac:dyDescent="0.2">
      <c r="A123" s="308" t="s">
        <v>151</v>
      </c>
      <c r="B123" s="305" t="s">
        <v>181</v>
      </c>
      <c r="C123" s="306" t="s">
        <v>186</v>
      </c>
      <c r="D123" s="305" t="s">
        <v>188</v>
      </c>
      <c r="E123" s="306" t="s">
        <v>220</v>
      </c>
      <c r="F123" s="306" t="s">
        <v>152</v>
      </c>
      <c r="G123" s="307">
        <f>G124</f>
        <v>83</v>
      </c>
      <c r="H123" s="354">
        <f>H124</f>
        <v>83</v>
      </c>
      <c r="I123" s="151"/>
      <c r="J123" s="151"/>
      <c r="K123" s="151"/>
      <c r="L123" s="151"/>
      <c r="M123" s="151"/>
    </row>
    <row r="124" spans="1:13" s="79" customFormat="1" ht="22.5" x14ac:dyDescent="0.2">
      <c r="A124" s="376" t="s">
        <v>153</v>
      </c>
      <c r="B124" s="305" t="s">
        <v>181</v>
      </c>
      <c r="C124" s="306" t="s">
        <v>186</v>
      </c>
      <c r="D124" s="305" t="s">
        <v>188</v>
      </c>
      <c r="E124" s="306" t="s">
        <v>220</v>
      </c>
      <c r="F124" s="306" t="s">
        <v>154</v>
      </c>
      <c r="G124" s="307">
        <v>83</v>
      </c>
      <c r="H124" s="354">
        <v>83</v>
      </c>
      <c r="I124" s="151"/>
      <c r="J124" s="151"/>
      <c r="K124" s="151"/>
      <c r="L124" s="151"/>
      <c r="M124" s="151"/>
    </row>
    <row r="125" spans="1:13" s="79" customFormat="1" ht="11.25" x14ac:dyDescent="0.2">
      <c r="A125" s="314" t="s">
        <v>197</v>
      </c>
      <c r="B125" s="315" t="s">
        <v>181</v>
      </c>
      <c r="C125" s="315" t="s">
        <v>186</v>
      </c>
      <c r="D125" s="315" t="s">
        <v>188</v>
      </c>
      <c r="E125" s="306" t="s">
        <v>220</v>
      </c>
      <c r="F125" s="315" t="s">
        <v>198</v>
      </c>
      <c r="G125" s="316">
        <f>G127</f>
        <v>3608.2</v>
      </c>
      <c r="H125" s="352">
        <f>H127</f>
        <v>3632</v>
      </c>
      <c r="I125" s="151"/>
      <c r="J125" s="151"/>
      <c r="K125" s="151"/>
      <c r="L125" s="151"/>
      <c r="M125" s="151"/>
    </row>
    <row r="126" spans="1:13" s="79" customFormat="1" ht="11.25" x14ac:dyDescent="0.2">
      <c r="A126" s="314" t="s">
        <v>199</v>
      </c>
      <c r="B126" s="315" t="s">
        <v>181</v>
      </c>
      <c r="C126" s="315" t="s">
        <v>186</v>
      </c>
      <c r="D126" s="315" t="s">
        <v>188</v>
      </c>
      <c r="E126" s="306" t="s">
        <v>220</v>
      </c>
      <c r="F126" s="317">
        <v>310</v>
      </c>
      <c r="G126" s="316">
        <f>G127</f>
        <v>3608.2</v>
      </c>
      <c r="H126" s="352">
        <f>H127</f>
        <v>3632</v>
      </c>
      <c r="I126" s="151"/>
      <c r="J126" s="151"/>
      <c r="K126" s="151"/>
      <c r="L126" s="151"/>
      <c r="M126" s="151"/>
    </row>
    <row r="127" spans="1:13" ht="22.5" x14ac:dyDescent="0.2">
      <c r="A127" s="374" t="s">
        <v>200</v>
      </c>
      <c r="B127" s="315" t="s">
        <v>181</v>
      </c>
      <c r="C127" s="315" t="s">
        <v>186</v>
      </c>
      <c r="D127" s="315" t="s">
        <v>188</v>
      </c>
      <c r="E127" s="306" t="s">
        <v>220</v>
      </c>
      <c r="F127" s="317">
        <v>313</v>
      </c>
      <c r="G127" s="316">
        <v>3608.2</v>
      </c>
      <c r="H127" s="352">
        <v>3632</v>
      </c>
    </row>
    <row r="128" spans="1:13" s="79" customFormat="1" ht="11.25" x14ac:dyDescent="0.2">
      <c r="A128" s="212" t="s">
        <v>275</v>
      </c>
      <c r="B128" s="213" t="s">
        <v>181</v>
      </c>
      <c r="C128" s="213" t="s">
        <v>186</v>
      </c>
      <c r="D128" s="213" t="s">
        <v>160</v>
      </c>
      <c r="E128" s="96"/>
      <c r="F128" s="215"/>
      <c r="G128" s="216">
        <f t="shared" ref="G128:H130" si="7">G129</f>
        <v>29345.5</v>
      </c>
      <c r="H128" s="355">
        <f t="shared" si="7"/>
        <v>29534.2</v>
      </c>
      <c r="I128" s="151"/>
      <c r="J128" s="151"/>
      <c r="K128" s="151"/>
      <c r="L128" s="151"/>
      <c r="M128" s="151"/>
    </row>
    <row r="129" spans="1:13" s="79" customFormat="1" ht="45" x14ac:dyDescent="0.2">
      <c r="A129" s="304" t="s">
        <v>201</v>
      </c>
      <c r="B129" s="315" t="s">
        <v>181</v>
      </c>
      <c r="C129" s="315" t="s">
        <v>186</v>
      </c>
      <c r="D129" s="315" t="s">
        <v>160</v>
      </c>
      <c r="E129" s="315" t="s">
        <v>202</v>
      </c>
      <c r="F129" s="317"/>
      <c r="G129" s="316">
        <f t="shared" si="7"/>
        <v>29345.5</v>
      </c>
      <c r="H129" s="352">
        <f t="shared" si="7"/>
        <v>29534.2</v>
      </c>
      <c r="I129" s="214"/>
      <c r="J129" s="151"/>
      <c r="K129" s="151"/>
      <c r="L129" s="151"/>
      <c r="M129" s="151"/>
    </row>
    <row r="130" spans="1:13" s="79" customFormat="1" ht="78.75" x14ac:dyDescent="0.2">
      <c r="A130" s="324" t="s">
        <v>659</v>
      </c>
      <c r="B130" s="315" t="s">
        <v>181</v>
      </c>
      <c r="C130" s="315" t="s">
        <v>186</v>
      </c>
      <c r="D130" s="315" t="s">
        <v>160</v>
      </c>
      <c r="E130" s="315" t="s">
        <v>203</v>
      </c>
      <c r="F130" s="306"/>
      <c r="G130" s="307">
        <f t="shared" si="7"/>
        <v>29345.5</v>
      </c>
      <c r="H130" s="354">
        <f t="shared" si="7"/>
        <v>29534.2</v>
      </c>
      <c r="I130" s="151"/>
      <c r="J130" s="151"/>
      <c r="K130" s="151"/>
      <c r="L130" s="151"/>
      <c r="M130" s="151"/>
    </row>
    <row r="131" spans="1:13" s="79" customFormat="1" ht="11.25" x14ac:dyDescent="0.2">
      <c r="A131" s="314" t="s">
        <v>197</v>
      </c>
      <c r="B131" s="315" t="s">
        <v>181</v>
      </c>
      <c r="C131" s="315" t="s">
        <v>186</v>
      </c>
      <c r="D131" s="315" t="s">
        <v>160</v>
      </c>
      <c r="E131" s="315" t="s">
        <v>203</v>
      </c>
      <c r="F131" s="315" t="s">
        <v>198</v>
      </c>
      <c r="G131" s="316">
        <f>G133</f>
        <v>29345.5</v>
      </c>
      <c r="H131" s="352">
        <f>H133</f>
        <v>29534.2</v>
      </c>
      <c r="I131" s="151"/>
      <c r="J131" s="151"/>
      <c r="K131" s="151"/>
      <c r="L131" s="151"/>
      <c r="M131" s="151"/>
    </row>
    <row r="132" spans="1:13" s="79" customFormat="1" ht="11.25" x14ac:dyDescent="0.2">
      <c r="A132" s="314" t="s">
        <v>199</v>
      </c>
      <c r="B132" s="315" t="s">
        <v>181</v>
      </c>
      <c r="C132" s="315" t="s">
        <v>186</v>
      </c>
      <c r="D132" s="315" t="s">
        <v>160</v>
      </c>
      <c r="E132" s="315" t="s">
        <v>203</v>
      </c>
      <c r="F132" s="317">
        <v>310</v>
      </c>
      <c r="G132" s="316">
        <f>G133</f>
        <v>29345.5</v>
      </c>
      <c r="H132" s="352">
        <f>H133</f>
        <v>29534.2</v>
      </c>
      <c r="I132" s="151"/>
      <c r="J132" s="151"/>
      <c r="K132" s="151"/>
      <c r="L132" s="151"/>
      <c r="M132" s="151"/>
    </row>
    <row r="133" spans="1:13" s="79" customFormat="1" ht="22.5" x14ac:dyDescent="0.2">
      <c r="A133" s="374" t="s">
        <v>200</v>
      </c>
      <c r="B133" s="315" t="s">
        <v>181</v>
      </c>
      <c r="C133" s="315" t="s">
        <v>186</v>
      </c>
      <c r="D133" s="315" t="s">
        <v>160</v>
      </c>
      <c r="E133" s="315" t="s">
        <v>203</v>
      </c>
      <c r="F133" s="317">
        <v>313</v>
      </c>
      <c r="G133" s="316">
        <v>29345.5</v>
      </c>
      <c r="H133" s="352">
        <v>29534.2</v>
      </c>
      <c r="I133" s="151"/>
      <c r="J133" s="151"/>
      <c r="K133" s="151"/>
      <c r="L133" s="151"/>
      <c r="M133" s="151"/>
    </row>
    <row r="134" spans="1:13" s="79" customFormat="1" ht="11.25" x14ac:dyDescent="0.2">
      <c r="A134" s="61" t="s">
        <v>221</v>
      </c>
      <c r="B134" s="94" t="s">
        <v>181</v>
      </c>
      <c r="C134" s="96" t="s">
        <v>186</v>
      </c>
      <c r="D134" s="94" t="s">
        <v>222</v>
      </c>
      <c r="E134" s="96" t="s">
        <v>183</v>
      </c>
      <c r="F134" s="96" t="s">
        <v>184</v>
      </c>
      <c r="G134" s="138">
        <f>G135+G142</f>
        <v>3119.1176</v>
      </c>
      <c r="H134" s="345">
        <f>H135+H142</f>
        <v>1589.3240000000001</v>
      </c>
      <c r="I134" s="151"/>
      <c r="J134" s="151"/>
      <c r="K134" s="151"/>
      <c r="L134" s="151"/>
      <c r="M134" s="151"/>
    </row>
    <row r="135" spans="1:13" s="79" customFormat="1" ht="22.5" x14ac:dyDescent="0.2">
      <c r="A135" s="304" t="s">
        <v>189</v>
      </c>
      <c r="B135" s="305" t="s">
        <v>181</v>
      </c>
      <c r="C135" s="306">
        <v>10</v>
      </c>
      <c r="D135" s="305" t="s">
        <v>222</v>
      </c>
      <c r="E135" s="306" t="s">
        <v>190</v>
      </c>
      <c r="F135" s="306"/>
      <c r="G135" s="307">
        <f t="shared" ref="G135:H140" si="8">G136</f>
        <v>497.6</v>
      </c>
      <c r="H135" s="354">
        <f t="shared" si="8"/>
        <v>500.8</v>
      </c>
      <c r="I135" s="214"/>
      <c r="J135" s="151"/>
      <c r="K135" s="151"/>
      <c r="L135" s="151"/>
      <c r="M135" s="151"/>
    </row>
    <row r="136" spans="1:13" s="79" customFormat="1" ht="22.5" x14ac:dyDescent="0.2">
      <c r="A136" s="304" t="s">
        <v>191</v>
      </c>
      <c r="B136" s="305" t="s">
        <v>181</v>
      </c>
      <c r="C136" s="306" t="s">
        <v>186</v>
      </c>
      <c r="D136" s="305" t="s">
        <v>222</v>
      </c>
      <c r="E136" s="306" t="s">
        <v>192</v>
      </c>
      <c r="F136" s="306"/>
      <c r="G136" s="307">
        <f t="shared" si="8"/>
        <v>497.6</v>
      </c>
      <c r="H136" s="354">
        <f t="shared" si="8"/>
        <v>500.8</v>
      </c>
      <c r="I136" s="151"/>
      <c r="J136" s="151"/>
      <c r="K136" s="151"/>
      <c r="L136" s="151"/>
      <c r="M136" s="151"/>
    </row>
    <row r="137" spans="1:13" s="79" customFormat="1" ht="33.75" x14ac:dyDescent="0.2">
      <c r="A137" s="304" t="s">
        <v>223</v>
      </c>
      <c r="B137" s="305" t="s">
        <v>181</v>
      </c>
      <c r="C137" s="306" t="s">
        <v>186</v>
      </c>
      <c r="D137" s="305" t="s">
        <v>222</v>
      </c>
      <c r="E137" s="306" t="s">
        <v>224</v>
      </c>
      <c r="F137" s="306" t="s">
        <v>184</v>
      </c>
      <c r="G137" s="307">
        <f t="shared" si="8"/>
        <v>497.6</v>
      </c>
      <c r="H137" s="354">
        <f t="shared" si="8"/>
        <v>500.8</v>
      </c>
      <c r="I137" s="151"/>
      <c r="J137" s="151"/>
      <c r="K137" s="151"/>
      <c r="L137" s="151"/>
      <c r="M137" s="151"/>
    </row>
    <row r="138" spans="1:13" s="79" customFormat="1" ht="25.5" x14ac:dyDescent="0.2">
      <c r="A138" s="323" t="s">
        <v>658</v>
      </c>
      <c r="B138" s="305" t="s">
        <v>181</v>
      </c>
      <c r="C138" s="306" t="s">
        <v>186</v>
      </c>
      <c r="D138" s="305" t="s">
        <v>222</v>
      </c>
      <c r="E138" s="306" t="s">
        <v>225</v>
      </c>
      <c r="F138" s="306" t="s">
        <v>184</v>
      </c>
      <c r="G138" s="307">
        <f t="shared" si="8"/>
        <v>497.6</v>
      </c>
      <c r="H138" s="354">
        <f t="shared" si="8"/>
        <v>500.8</v>
      </c>
      <c r="I138" s="151"/>
      <c r="J138" s="151"/>
      <c r="K138" s="151"/>
      <c r="L138" s="151"/>
      <c r="M138" s="151"/>
    </row>
    <row r="139" spans="1:13" s="79" customFormat="1" ht="11.25" x14ac:dyDescent="0.2">
      <c r="A139" s="308" t="s">
        <v>650</v>
      </c>
      <c r="B139" s="305" t="s">
        <v>181</v>
      </c>
      <c r="C139" s="306" t="s">
        <v>186</v>
      </c>
      <c r="D139" s="305" t="s">
        <v>222</v>
      </c>
      <c r="E139" s="306" t="s">
        <v>225</v>
      </c>
      <c r="F139" s="306" t="s">
        <v>150</v>
      </c>
      <c r="G139" s="307">
        <f t="shared" si="8"/>
        <v>497.6</v>
      </c>
      <c r="H139" s="354">
        <f t="shared" si="8"/>
        <v>500.8</v>
      </c>
      <c r="I139" s="151"/>
      <c r="J139" s="151"/>
      <c r="K139" s="151"/>
      <c r="L139" s="151"/>
      <c r="M139" s="151"/>
    </row>
    <row r="140" spans="1:13" ht="22.5" x14ac:dyDescent="0.2">
      <c r="A140" s="308" t="s">
        <v>151</v>
      </c>
      <c r="B140" s="305" t="s">
        <v>181</v>
      </c>
      <c r="C140" s="306" t="s">
        <v>186</v>
      </c>
      <c r="D140" s="305" t="s">
        <v>222</v>
      </c>
      <c r="E140" s="306" t="s">
        <v>225</v>
      </c>
      <c r="F140" s="306" t="s">
        <v>152</v>
      </c>
      <c r="G140" s="307">
        <f t="shared" si="8"/>
        <v>497.6</v>
      </c>
      <c r="H140" s="354">
        <f t="shared" si="8"/>
        <v>500.8</v>
      </c>
      <c r="I140" s="148"/>
    </row>
    <row r="141" spans="1:13" ht="22.5" x14ac:dyDescent="0.2">
      <c r="A141" s="376" t="s">
        <v>153</v>
      </c>
      <c r="B141" s="305" t="s">
        <v>181</v>
      </c>
      <c r="C141" s="306" t="s">
        <v>186</v>
      </c>
      <c r="D141" s="305" t="s">
        <v>222</v>
      </c>
      <c r="E141" s="306" t="s">
        <v>225</v>
      </c>
      <c r="F141" s="306" t="s">
        <v>154</v>
      </c>
      <c r="G141" s="307">
        <v>497.6</v>
      </c>
      <c r="H141" s="354">
        <v>500.8</v>
      </c>
      <c r="I141" s="148"/>
    </row>
    <row r="142" spans="1:13" x14ac:dyDescent="0.2">
      <c r="A142" s="66" t="s">
        <v>226</v>
      </c>
      <c r="B142" s="67" t="s">
        <v>181</v>
      </c>
      <c r="C142" s="68" t="s">
        <v>186</v>
      </c>
      <c r="D142" s="67" t="s">
        <v>222</v>
      </c>
      <c r="E142" s="68" t="s">
        <v>227</v>
      </c>
      <c r="F142" s="68"/>
      <c r="G142" s="131">
        <f>G143+G157</f>
        <v>2621.5176000000001</v>
      </c>
      <c r="H142" s="353">
        <f>H143+H157</f>
        <v>1088.5240000000001</v>
      </c>
    </row>
    <row r="143" spans="1:13" ht="22.5" x14ac:dyDescent="0.2">
      <c r="A143" s="66" t="s">
        <v>228</v>
      </c>
      <c r="B143" s="67" t="s">
        <v>181</v>
      </c>
      <c r="C143" s="68" t="s">
        <v>186</v>
      </c>
      <c r="D143" s="67" t="s">
        <v>222</v>
      </c>
      <c r="E143" s="68" t="s">
        <v>229</v>
      </c>
      <c r="F143" s="68" t="s">
        <v>184</v>
      </c>
      <c r="G143" s="131">
        <f>G144+G149+G153</f>
        <v>2521.5176000000001</v>
      </c>
      <c r="H143" s="353">
        <f>H144+H149+H153</f>
        <v>1088.5240000000001</v>
      </c>
    </row>
    <row r="144" spans="1:13" ht="22.5" x14ac:dyDescent="0.2">
      <c r="A144" s="82" t="s">
        <v>230</v>
      </c>
      <c r="B144" s="67" t="s">
        <v>181</v>
      </c>
      <c r="C144" s="68">
        <v>10</v>
      </c>
      <c r="D144" s="67" t="s">
        <v>222</v>
      </c>
      <c r="E144" s="68" t="s">
        <v>231</v>
      </c>
      <c r="F144" s="68" t="s">
        <v>184</v>
      </c>
      <c r="G144" s="131">
        <f>G145</f>
        <v>2242.5</v>
      </c>
      <c r="H144" s="353">
        <f>H145</f>
        <v>1071.0440000000001</v>
      </c>
    </row>
    <row r="145" spans="1:9" ht="33.75" x14ac:dyDescent="0.2">
      <c r="A145" s="83" t="s">
        <v>139</v>
      </c>
      <c r="B145" s="67" t="s">
        <v>181</v>
      </c>
      <c r="C145" s="68">
        <v>10</v>
      </c>
      <c r="D145" s="67" t="s">
        <v>222</v>
      </c>
      <c r="E145" s="68" t="s">
        <v>231</v>
      </c>
      <c r="F145" s="68" t="s">
        <v>140</v>
      </c>
      <c r="G145" s="131">
        <f>G146</f>
        <v>2242.5</v>
      </c>
      <c r="H145" s="353">
        <f>H146</f>
        <v>1071.0440000000001</v>
      </c>
    </row>
    <row r="146" spans="1:9" x14ac:dyDescent="0.2">
      <c r="A146" s="83" t="s">
        <v>168</v>
      </c>
      <c r="B146" s="67" t="s">
        <v>181</v>
      </c>
      <c r="C146" s="68">
        <v>10</v>
      </c>
      <c r="D146" s="67" t="s">
        <v>222</v>
      </c>
      <c r="E146" s="68" t="s">
        <v>231</v>
      </c>
      <c r="F146" s="68" t="s">
        <v>232</v>
      </c>
      <c r="G146" s="131">
        <f>G147+G148</f>
        <v>2242.5</v>
      </c>
      <c r="H146" s="353">
        <f>H147+H148</f>
        <v>1071.0440000000001</v>
      </c>
    </row>
    <row r="147" spans="1:9" x14ac:dyDescent="0.2">
      <c r="A147" s="114" t="s">
        <v>169</v>
      </c>
      <c r="B147" s="67" t="s">
        <v>181</v>
      </c>
      <c r="C147" s="68">
        <v>10</v>
      </c>
      <c r="D147" s="67" t="s">
        <v>222</v>
      </c>
      <c r="E147" s="68" t="s">
        <v>231</v>
      </c>
      <c r="F147" s="68" t="s">
        <v>233</v>
      </c>
      <c r="G147" s="131">
        <f>1675.8</f>
        <v>1675.8</v>
      </c>
      <c r="H147" s="353">
        <v>730</v>
      </c>
    </row>
    <row r="148" spans="1:9" ht="33.75" x14ac:dyDescent="0.2">
      <c r="A148" s="114" t="s">
        <v>170</v>
      </c>
      <c r="B148" s="67" t="s">
        <v>181</v>
      </c>
      <c r="C148" s="68">
        <v>10</v>
      </c>
      <c r="D148" s="67" t="s">
        <v>222</v>
      </c>
      <c r="E148" s="68" t="s">
        <v>231</v>
      </c>
      <c r="F148" s="68">
        <v>129</v>
      </c>
      <c r="G148" s="131">
        <v>566.70000000000005</v>
      </c>
      <c r="H148" s="353">
        <f>506*67.4%</f>
        <v>341.04400000000004</v>
      </c>
      <c r="I148" s="148"/>
    </row>
    <row r="149" spans="1:9" x14ac:dyDescent="0.2">
      <c r="A149" s="83" t="s">
        <v>650</v>
      </c>
      <c r="B149" s="67" t="s">
        <v>181</v>
      </c>
      <c r="C149" s="68">
        <v>10</v>
      </c>
      <c r="D149" s="67" t="s">
        <v>222</v>
      </c>
      <c r="E149" s="68" t="s">
        <v>234</v>
      </c>
      <c r="F149" s="68" t="s">
        <v>150</v>
      </c>
      <c r="G149" s="131">
        <f>G150</f>
        <v>261.17760000000004</v>
      </c>
      <c r="H149" s="353">
        <f>H150</f>
        <v>0</v>
      </c>
      <c r="I149" s="148"/>
    </row>
    <row r="150" spans="1:9" ht="22.5" x14ac:dyDescent="0.2">
      <c r="A150" s="83" t="s">
        <v>151</v>
      </c>
      <c r="B150" s="67" t="s">
        <v>181</v>
      </c>
      <c r="C150" s="68">
        <v>10</v>
      </c>
      <c r="D150" s="67" t="s">
        <v>222</v>
      </c>
      <c r="E150" s="68" t="s">
        <v>234</v>
      </c>
      <c r="F150" s="68" t="s">
        <v>152</v>
      </c>
      <c r="G150" s="131">
        <f>G152+G151</f>
        <v>261.17760000000004</v>
      </c>
      <c r="H150" s="353">
        <f>H152+H151</f>
        <v>0</v>
      </c>
    </row>
    <row r="151" spans="1:9" ht="22.5" x14ac:dyDescent="0.2">
      <c r="A151" s="115" t="s">
        <v>171</v>
      </c>
      <c r="B151" s="67" t="s">
        <v>181</v>
      </c>
      <c r="C151" s="68">
        <v>10</v>
      </c>
      <c r="D151" s="67" t="s">
        <v>222</v>
      </c>
      <c r="E151" s="68" t="s">
        <v>234</v>
      </c>
      <c r="F151" s="68">
        <v>242</v>
      </c>
      <c r="G151" s="131">
        <f>80*89.2%</f>
        <v>71.36</v>
      </c>
      <c r="H151" s="353"/>
    </row>
    <row r="152" spans="1:9" ht="22.5" x14ac:dyDescent="0.2">
      <c r="A152" s="115" t="s">
        <v>153</v>
      </c>
      <c r="B152" s="67" t="s">
        <v>181</v>
      </c>
      <c r="C152" s="68">
        <v>10</v>
      </c>
      <c r="D152" s="67" t="s">
        <v>222</v>
      </c>
      <c r="E152" s="68" t="s">
        <v>234</v>
      </c>
      <c r="F152" s="68" t="s">
        <v>154</v>
      </c>
      <c r="G152" s="131">
        <f>212.8*89.2%</f>
        <v>189.81760000000003</v>
      </c>
      <c r="H152" s="353"/>
    </row>
    <row r="153" spans="1:9" x14ac:dyDescent="0.2">
      <c r="A153" s="70" t="s">
        <v>172</v>
      </c>
      <c r="B153" s="67" t="s">
        <v>181</v>
      </c>
      <c r="C153" s="68">
        <v>10</v>
      </c>
      <c r="D153" s="67" t="s">
        <v>222</v>
      </c>
      <c r="E153" s="68" t="s">
        <v>234</v>
      </c>
      <c r="F153" s="68" t="s">
        <v>235</v>
      </c>
      <c r="G153" s="131">
        <f>G154</f>
        <v>17.84</v>
      </c>
      <c r="H153" s="353">
        <f>H154</f>
        <v>17.480000000000004</v>
      </c>
    </row>
    <row r="154" spans="1:9" x14ac:dyDescent="0.2">
      <c r="A154" s="70" t="s">
        <v>173</v>
      </c>
      <c r="B154" s="67" t="s">
        <v>181</v>
      </c>
      <c r="C154" s="68">
        <v>10</v>
      </c>
      <c r="D154" s="67" t="s">
        <v>222</v>
      </c>
      <c r="E154" s="68" t="s">
        <v>234</v>
      </c>
      <c r="F154" s="68" t="s">
        <v>174</v>
      </c>
      <c r="G154" s="131">
        <f>G155+G156</f>
        <v>17.84</v>
      </c>
      <c r="H154" s="353">
        <f>H155+H156</f>
        <v>17.480000000000004</v>
      </c>
    </row>
    <row r="155" spans="1:9" x14ac:dyDescent="0.2">
      <c r="A155" s="75" t="s">
        <v>175</v>
      </c>
      <c r="B155" s="67" t="s">
        <v>181</v>
      </c>
      <c r="C155" s="68">
        <v>10</v>
      </c>
      <c r="D155" s="67" t="s">
        <v>222</v>
      </c>
      <c r="E155" s="68" t="s">
        <v>234</v>
      </c>
      <c r="F155" s="68" t="s">
        <v>176</v>
      </c>
      <c r="G155" s="131">
        <f>16*89.2%</f>
        <v>14.272</v>
      </c>
      <c r="H155" s="353">
        <f>16*87.4%</f>
        <v>13.984000000000002</v>
      </c>
    </row>
    <row r="156" spans="1:9" x14ac:dyDescent="0.2">
      <c r="A156" s="70" t="s">
        <v>564</v>
      </c>
      <c r="B156" s="67" t="s">
        <v>181</v>
      </c>
      <c r="C156" s="68">
        <v>10</v>
      </c>
      <c r="D156" s="67" t="s">
        <v>222</v>
      </c>
      <c r="E156" s="68" t="s">
        <v>234</v>
      </c>
      <c r="F156" s="68">
        <v>853</v>
      </c>
      <c r="G156" s="131">
        <f>4*89.2%</f>
        <v>3.5680000000000001</v>
      </c>
      <c r="H156" s="353">
        <f>4*87.4%</f>
        <v>3.4960000000000004</v>
      </c>
    </row>
    <row r="157" spans="1:9" ht="22.5" x14ac:dyDescent="0.2">
      <c r="A157" s="83" t="s">
        <v>237</v>
      </c>
      <c r="B157" s="67" t="s">
        <v>181</v>
      </c>
      <c r="C157" s="68">
        <v>10</v>
      </c>
      <c r="D157" s="67" t="s">
        <v>222</v>
      </c>
      <c r="E157" s="68" t="s">
        <v>238</v>
      </c>
      <c r="F157" s="68"/>
      <c r="G157" s="131">
        <f t="shared" ref="G157:H159" si="9">G158</f>
        <v>100</v>
      </c>
      <c r="H157" s="353">
        <f t="shared" si="9"/>
        <v>0</v>
      </c>
    </row>
    <row r="158" spans="1:9" x14ac:dyDescent="0.2">
      <c r="A158" s="83" t="s">
        <v>650</v>
      </c>
      <c r="B158" s="67" t="s">
        <v>181</v>
      </c>
      <c r="C158" s="68">
        <v>10</v>
      </c>
      <c r="D158" s="67" t="s">
        <v>222</v>
      </c>
      <c r="E158" s="68" t="s">
        <v>238</v>
      </c>
      <c r="F158" s="68" t="s">
        <v>150</v>
      </c>
      <c r="G158" s="131">
        <f t="shared" si="9"/>
        <v>100</v>
      </c>
      <c r="H158" s="353">
        <f t="shared" si="9"/>
        <v>0</v>
      </c>
    </row>
    <row r="159" spans="1:9" ht="22.5" x14ac:dyDescent="0.2">
      <c r="A159" s="83" t="s">
        <v>151</v>
      </c>
      <c r="B159" s="67" t="s">
        <v>181</v>
      </c>
      <c r="C159" s="68">
        <v>10</v>
      </c>
      <c r="D159" s="67" t="s">
        <v>222</v>
      </c>
      <c r="E159" s="68" t="s">
        <v>238</v>
      </c>
      <c r="F159" s="68" t="s">
        <v>152</v>
      </c>
      <c r="G159" s="131">
        <f t="shared" si="9"/>
        <v>100</v>
      </c>
      <c r="H159" s="353">
        <f t="shared" si="9"/>
        <v>0</v>
      </c>
    </row>
    <row r="160" spans="1:9" ht="22.5" x14ac:dyDescent="0.2">
      <c r="A160" s="115" t="s">
        <v>153</v>
      </c>
      <c r="B160" s="67" t="s">
        <v>181</v>
      </c>
      <c r="C160" s="68">
        <v>10</v>
      </c>
      <c r="D160" s="67" t="s">
        <v>222</v>
      </c>
      <c r="E160" s="68" t="s">
        <v>238</v>
      </c>
      <c r="F160" s="68" t="s">
        <v>154</v>
      </c>
      <c r="G160" s="131">
        <f>100</f>
        <v>100</v>
      </c>
      <c r="H160" s="353"/>
    </row>
    <row r="161" spans="1:10" ht="31.5" x14ac:dyDescent="0.2">
      <c r="A161" s="63" t="s">
        <v>239</v>
      </c>
      <c r="B161" s="77" t="s">
        <v>240</v>
      </c>
      <c r="C161" s="76" t="s">
        <v>182</v>
      </c>
      <c r="D161" s="77" t="s">
        <v>182</v>
      </c>
      <c r="E161" s="76" t="s">
        <v>183</v>
      </c>
      <c r="F161" s="76" t="s">
        <v>184</v>
      </c>
      <c r="G161" s="137">
        <f>G162+G293</f>
        <v>291788.842</v>
      </c>
      <c r="H161" s="356">
        <f>H162+H293</f>
        <v>285901.02699999994</v>
      </c>
      <c r="I161" s="148"/>
    </row>
    <row r="162" spans="1:10" x14ac:dyDescent="0.2">
      <c r="A162" s="61" t="s">
        <v>241</v>
      </c>
      <c r="B162" s="94" t="s">
        <v>240</v>
      </c>
      <c r="C162" s="96" t="s">
        <v>242</v>
      </c>
      <c r="D162" s="94" t="s">
        <v>182</v>
      </c>
      <c r="E162" s="96" t="s">
        <v>183</v>
      </c>
      <c r="F162" s="96" t="s">
        <v>184</v>
      </c>
      <c r="G162" s="138">
        <f>G163+G201+G244+G254+G263</f>
        <v>288568.94199999998</v>
      </c>
      <c r="H162" s="345">
        <f>H163+H201+H244+H254+H263</f>
        <v>282660.42699999997</v>
      </c>
      <c r="I162" s="148"/>
      <c r="J162" s="148"/>
    </row>
    <row r="163" spans="1:10" x14ac:dyDescent="0.2">
      <c r="A163" s="61" t="s">
        <v>243</v>
      </c>
      <c r="B163" s="94" t="s">
        <v>240</v>
      </c>
      <c r="C163" s="96" t="s">
        <v>242</v>
      </c>
      <c r="D163" s="94" t="s">
        <v>122</v>
      </c>
      <c r="E163" s="96" t="s">
        <v>183</v>
      </c>
      <c r="F163" s="96" t="s">
        <v>184</v>
      </c>
      <c r="G163" s="138">
        <f>G164+G193</f>
        <v>72755.937200000015</v>
      </c>
      <c r="H163" s="345">
        <f>H164+H193</f>
        <v>64362.6374</v>
      </c>
      <c r="I163" s="148"/>
    </row>
    <row r="164" spans="1:10" ht="21" x14ac:dyDescent="0.2">
      <c r="A164" s="61" t="s">
        <v>244</v>
      </c>
      <c r="B164" s="94" t="s">
        <v>240</v>
      </c>
      <c r="C164" s="96" t="s">
        <v>242</v>
      </c>
      <c r="D164" s="94" t="s">
        <v>122</v>
      </c>
      <c r="E164" s="96" t="s">
        <v>245</v>
      </c>
      <c r="F164" s="96"/>
      <c r="G164" s="138">
        <f>G165</f>
        <v>72499.844000000012</v>
      </c>
      <c r="H164" s="345">
        <f>H165</f>
        <v>64111.712</v>
      </c>
    </row>
    <row r="165" spans="1:10" x14ac:dyDescent="0.2">
      <c r="A165" s="83" t="s">
        <v>246</v>
      </c>
      <c r="B165" s="67" t="s">
        <v>240</v>
      </c>
      <c r="C165" s="68" t="s">
        <v>242</v>
      </c>
      <c r="D165" s="67" t="s">
        <v>122</v>
      </c>
      <c r="E165" s="84" t="s">
        <v>247</v>
      </c>
      <c r="F165" s="84" t="s">
        <v>184</v>
      </c>
      <c r="G165" s="135">
        <f>G182+G166</f>
        <v>72499.844000000012</v>
      </c>
      <c r="H165" s="349">
        <f>H182+H166</f>
        <v>64111.712</v>
      </c>
    </row>
    <row r="166" spans="1:10" x14ac:dyDescent="0.2">
      <c r="A166" s="71" t="s">
        <v>127</v>
      </c>
      <c r="B166" s="67" t="s">
        <v>240</v>
      </c>
      <c r="C166" s="68" t="s">
        <v>242</v>
      </c>
      <c r="D166" s="67" t="s">
        <v>122</v>
      </c>
      <c r="E166" s="68" t="s">
        <v>248</v>
      </c>
      <c r="F166" s="68"/>
      <c r="G166" s="131">
        <f>G167+G171+G175+G178</f>
        <v>31959.239600000001</v>
      </c>
      <c r="H166" s="353">
        <f>H167+H171+H175+H178</f>
        <v>23310.396200000003</v>
      </c>
    </row>
    <row r="167" spans="1:10" ht="33.75" x14ac:dyDescent="0.2">
      <c r="A167" s="83" t="s">
        <v>139</v>
      </c>
      <c r="B167" s="67" t="s">
        <v>240</v>
      </c>
      <c r="C167" s="68" t="s">
        <v>242</v>
      </c>
      <c r="D167" s="67" t="s">
        <v>122</v>
      </c>
      <c r="E167" s="68" t="s">
        <v>248</v>
      </c>
      <c r="F167" s="68" t="s">
        <v>140</v>
      </c>
      <c r="G167" s="131">
        <f>G168</f>
        <v>4050.9288000000006</v>
      </c>
      <c r="H167" s="353">
        <f>H168</f>
        <v>3969.1836000000003</v>
      </c>
      <c r="I167" s="148"/>
    </row>
    <row r="168" spans="1:10" x14ac:dyDescent="0.2">
      <c r="A168" s="83" t="s">
        <v>141</v>
      </c>
      <c r="B168" s="67" t="s">
        <v>240</v>
      </c>
      <c r="C168" s="68" t="s">
        <v>242</v>
      </c>
      <c r="D168" s="67" t="s">
        <v>122</v>
      </c>
      <c r="E168" s="68" t="s">
        <v>248</v>
      </c>
      <c r="F168" s="68">
        <v>110</v>
      </c>
      <c r="G168" s="131">
        <f>G169+G170</f>
        <v>4050.9288000000006</v>
      </c>
      <c r="H168" s="353">
        <f>H169+H170</f>
        <v>3969.1836000000003</v>
      </c>
    </row>
    <row r="169" spans="1:10" x14ac:dyDescent="0.2">
      <c r="A169" s="83" t="s">
        <v>142</v>
      </c>
      <c r="B169" s="67" t="s">
        <v>240</v>
      </c>
      <c r="C169" s="68" t="s">
        <v>242</v>
      </c>
      <c r="D169" s="67" t="s">
        <v>122</v>
      </c>
      <c r="E169" s="68" t="s">
        <v>248</v>
      </c>
      <c r="F169" s="68">
        <v>111</v>
      </c>
      <c r="G169" s="131">
        <f>3488*89.2%</f>
        <v>3111.2960000000003</v>
      </c>
      <c r="H169" s="353">
        <f>3488*87.4%</f>
        <v>3048.5120000000002</v>
      </c>
    </row>
    <row r="170" spans="1:10" ht="22.5" x14ac:dyDescent="0.2">
      <c r="A170" s="114" t="s">
        <v>143</v>
      </c>
      <c r="B170" s="67" t="s">
        <v>240</v>
      </c>
      <c r="C170" s="68" t="s">
        <v>242</v>
      </c>
      <c r="D170" s="67" t="s">
        <v>122</v>
      </c>
      <c r="E170" s="68" t="s">
        <v>248</v>
      </c>
      <c r="F170" s="68">
        <v>119</v>
      </c>
      <c r="G170" s="131">
        <f>1053.4*89.2%</f>
        <v>939.63280000000009</v>
      </c>
      <c r="H170" s="353">
        <f>1053.4*87.4%</f>
        <v>920.67160000000024</v>
      </c>
      <c r="I170" s="148"/>
    </row>
    <row r="171" spans="1:10" x14ac:dyDescent="0.2">
      <c r="A171" s="83" t="s">
        <v>650</v>
      </c>
      <c r="B171" s="67" t="s">
        <v>240</v>
      </c>
      <c r="C171" s="68" t="s">
        <v>242</v>
      </c>
      <c r="D171" s="67" t="s">
        <v>122</v>
      </c>
      <c r="E171" s="68" t="s">
        <v>248</v>
      </c>
      <c r="F171" s="68" t="s">
        <v>150</v>
      </c>
      <c r="G171" s="131">
        <f>G172</f>
        <v>1235.3308000000002</v>
      </c>
      <c r="H171" s="353">
        <f>H172</f>
        <v>1210.4026000000001</v>
      </c>
      <c r="I171" s="148"/>
    </row>
    <row r="172" spans="1:10" ht="22.5" x14ac:dyDescent="0.2">
      <c r="A172" s="83" t="s">
        <v>151</v>
      </c>
      <c r="B172" s="67" t="s">
        <v>240</v>
      </c>
      <c r="C172" s="68" t="s">
        <v>242</v>
      </c>
      <c r="D172" s="67" t="s">
        <v>122</v>
      </c>
      <c r="E172" s="68" t="s">
        <v>248</v>
      </c>
      <c r="F172" s="68" t="s">
        <v>152</v>
      </c>
      <c r="G172" s="131">
        <f>G173+G174</f>
        <v>1235.3308000000002</v>
      </c>
      <c r="H172" s="353">
        <f>H173+H174</f>
        <v>1210.4026000000001</v>
      </c>
      <c r="I172" s="148"/>
    </row>
    <row r="173" spans="1:10" ht="22.5" x14ac:dyDescent="0.2">
      <c r="A173" s="115" t="s">
        <v>171</v>
      </c>
      <c r="B173" s="67" t="s">
        <v>240</v>
      </c>
      <c r="C173" s="68" t="s">
        <v>242</v>
      </c>
      <c r="D173" s="67" t="s">
        <v>122</v>
      </c>
      <c r="E173" s="68" t="s">
        <v>248</v>
      </c>
      <c r="F173" s="68">
        <v>242</v>
      </c>
      <c r="G173" s="131"/>
      <c r="H173" s="353"/>
    </row>
    <row r="174" spans="1:10" ht="22.5" x14ac:dyDescent="0.2">
      <c r="A174" s="115" t="s">
        <v>153</v>
      </c>
      <c r="B174" s="67" t="s">
        <v>240</v>
      </c>
      <c r="C174" s="68" t="s">
        <v>242</v>
      </c>
      <c r="D174" s="67" t="s">
        <v>122</v>
      </c>
      <c r="E174" s="68" t="s">
        <v>248</v>
      </c>
      <c r="F174" s="68" t="s">
        <v>154</v>
      </c>
      <c r="G174" s="131">
        <f>1384.9*89.2%</f>
        <v>1235.3308000000002</v>
      </c>
      <c r="H174" s="353">
        <f>1384.9*87.4%</f>
        <v>1210.4026000000001</v>
      </c>
    </row>
    <row r="175" spans="1:10" ht="22.5" x14ac:dyDescent="0.2">
      <c r="A175" s="83" t="s">
        <v>129</v>
      </c>
      <c r="B175" s="67" t="s">
        <v>240</v>
      </c>
      <c r="C175" s="68" t="s">
        <v>242</v>
      </c>
      <c r="D175" s="67" t="s">
        <v>122</v>
      </c>
      <c r="E175" s="218" t="s">
        <v>248</v>
      </c>
      <c r="F175" s="68" t="s">
        <v>130</v>
      </c>
      <c r="G175" s="131">
        <f>G176</f>
        <v>26615</v>
      </c>
      <c r="H175" s="353">
        <f>H176</f>
        <v>18074</v>
      </c>
    </row>
    <row r="176" spans="1:10" x14ac:dyDescent="0.2">
      <c r="A176" s="83" t="s">
        <v>131</v>
      </c>
      <c r="B176" s="67" t="s">
        <v>240</v>
      </c>
      <c r="C176" s="68" t="s">
        <v>242</v>
      </c>
      <c r="D176" s="67" t="s">
        <v>122</v>
      </c>
      <c r="E176" s="218" t="s">
        <v>248</v>
      </c>
      <c r="F176" s="68" t="s">
        <v>132</v>
      </c>
      <c r="G176" s="131">
        <f>G177</f>
        <v>26615</v>
      </c>
      <c r="H176" s="353">
        <f>H177</f>
        <v>18074</v>
      </c>
    </row>
    <row r="177" spans="1:8" ht="33.75" x14ac:dyDescent="0.2">
      <c r="A177" s="83" t="s">
        <v>133</v>
      </c>
      <c r="B177" s="67" t="s">
        <v>240</v>
      </c>
      <c r="C177" s="68" t="s">
        <v>242</v>
      </c>
      <c r="D177" s="67" t="s">
        <v>122</v>
      </c>
      <c r="E177" s="218" t="s">
        <v>248</v>
      </c>
      <c r="F177" s="68" t="s">
        <v>134</v>
      </c>
      <c r="G177" s="131">
        <v>26615</v>
      </c>
      <c r="H177" s="353">
        <v>18074</v>
      </c>
    </row>
    <row r="178" spans="1:8" x14ac:dyDescent="0.2">
      <c r="A178" s="70" t="s">
        <v>172</v>
      </c>
      <c r="B178" s="67" t="s">
        <v>240</v>
      </c>
      <c r="C178" s="68" t="s">
        <v>242</v>
      </c>
      <c r="D178" s="67" t="s">
        <v>122</v>
      </c>
      <c r="E178" s="68" t="s">
        <v>248</v>
      </c>
      <c r="F178" s="68" t="s">
        <v>235</v>
      </c>
      <c r="G178" s="131">
        <f>G179</f>
        <v>57.980000000000004</v>
      </c>
      <c r="H178" s="353">
        <f>H179</f>
        <v>56.810000000000009</v>
      </c>
    </row>
    <row r="179" spans="1:8" x14ac:dyDescent="0.2">
      <c r="A179" s="70" t="s">
        <v>173</v>
      </c>
      <c r="B179" s="67" t="s">
        <v>240</v>
      </c>
      <c r="C179" s="68" t="s">
        <v>242</v>
      </c>
      <c r="D179" s="67" t="s">
        <v>122</v>
      </c>
      <c r="E179" s="68" t="s">
        <v>248</v>
      </c>
      <c r="F179" s="68" t="s">
        <v>174</v>
      </c>
      <c r="G179" s="131">
        <f>G180+G181</f>
        <v>57.980000000000004</v>
      </c>
      <c r="H179" s="353">
        <f>H180+H181</f>
        <v>56.810000000000009</v>
      </c>
    </row>
    <row r="180" spans="1:8" x14ac:dyDescent="0.2">
      <c r="A180" s="75" t="s">
        <v>175</v>
      </c>
      <c r="B180" s="67" t="s">
        <v>240</v>
      </c>
      <c r="C180" s="68" t="s">
        <v>242</v>
      </c>
      <c r="D180" s="67" t="s">
        <v>122</v>
      </c>
      <c r="E180" s="68" t="s">
        <v>248</v>
      </c>
      <c r="F180" s="68" t="s">
        <v>176</v>
      </c>
      <c r="G180" s="131">
        <f>13*89.2%</f>
        <v>11.596</v>
      </c>
      <c r="H180" s="353">
        <f>13*87.4%</f>
        <v>11.362000000000002</v>
      </c>
    </row>
    <row r="181" spans="1:8" x14ac:dyDescent="0.2">
      <c r="A181" s="70" t="s">
        <v>564</v>
      </c>
      <c r="B181" s="67" t="s">
        <v>240</v>
      </c>
      <c r="C181" s="68" t="s">
        <v>242</v>
      </c>
      <c r="D181" s="67" t="s">
        <v>122</v>
      </c>
      <c r="E181" s="68" t="s">
        <v>248</v>
      </c>
      <c r="F181" s="68">
        <v>853</v>
      </c>
      <c r="G181" s="131">
        <f>52*89.2%</f>
        <v>46.384</v>
      </c>
      <c r="H181" s="353">
        <f>52*87.4%</f>
        <v>45.448000000000008</v>
      </c>
    </row>
    <row r="182" spans="1:8" x14ac:dyDescent="0.2">
      <c r="A182" s="308" t="s">
        <v>656</v>
      </c>
      <c r="B182" s="305" t="s">
        <v>240</v>
      </c>
      <c r="C182" s="306" t="s">
        <v>242</v>
      </c>
      <c r="D182" s="305" t="s">
        <v>122</v>
      </c>
      <c r="E182" s="306" t="s">
        <v>249</v>
      </c>
      <c r="F182" s="230" t="s">
        <v>184</v>
      </c>
      <c r="G182" s="309">
        <f>G183+G187+G190</f>
        <v>40540.604400000004</v>
      </c>
      <c r="H182" s="350">
        <f>H183+H187+H190</f>
        <v>40801.315799999997</v>
      </c>
    </row>
    <row r="183" spans="1:8" ht="33.75" x14ac:dyDescent="0.2">
      <c r="A183" s="83" t="s">
        <v>139</v>
      </c>
      <c r="B183" s="67" t="s">
        <v>240</v>
      </c>
      <c r="C183" s="68" t="s">
        <v>242</v>
      </c>
      <c r="D183" s="67" t="s">
        <v>122</v>
      </c>
      <c r="E183" s="68" t="s">
        <v>249</v>
      </c>
      <c r="F183" s="68" t="s">
        <v>140</v>
      </c>
      <c r="G183" s="131">
        <f>G184</f>
        <v>6479.3044</v>
      </c>
      <c r="H183" s="353">
        <f>H184</f>
        <v>5809.2158000000009</v>
      </c>
    </row>
    <row r="184" spans="1:8" x14ac:dyDescent="0.2">
      <c r="A184" s="83" t="s">
        <v>141</v>
      </c>
      <c r="B184" s="67" t="s">
        <v>240</v>
      </c>
      <c r="C184" s="68" t="s">
        <v>242</v>
      </c>
      <c r="D184" s="67" t="s">
        <v>122</v>
      </c>
      <c r="E184" s="68" t="s">
        <v>249</v>
      </c>
      <c r="F184" s="68">
        <v>110</v>
      </c>
      <c r="G184" s="131">
        <f>G185+G186</f>
        <v>6479.3044</v>
      </c>
      <c r="H184" s="353">
        <f>H185+H186</f>
        <v>5809.2158000000009</v>
      </c>
    </row>
    <row r="185" spans="1:8" x14ac:dyDescent="0.2">
      <c r="A185" s="83" t="s">
        <v>142</v>
      </c>
      <c r="B185" s="67" t="s">
        <v>240</v>
      </c>
      <c r="C185" s="68" t="s">
        <v>242</v>
      </c>
      <c r="D185" s="67" t="s">
        <v>122</v>
      </c>
      <c r="E185" s="68" t="s">
        <v>249</v>
      </c>
      <c r="F185" s="68">
        <v>111</v>
      </c>
      <c r="G185" s="131">
        <f>5105-89.2%</f>
        <v>5104.1080000000002</v>
      </c>
      <c r="H185" s="353">
        <f>5105*87.4%</f>
        <v>4461.7700000000004</v>
      </c>
    </row>
    <row r="186" spans="1:8" ht="22.5" x14ac:dyDescent="0.2">
      <c r="A186" s="114" t="s">
        <v>143</v>
      </c>
      <c r="B186" s="67" t="s">
        <v>240</v>
      </c>
      <c r="C186" s="68" t="s">
        <v>242</v>
      </c>
      <c r="D186" s="67" t="s">
        <v>122</v>
      </c>
      <c r="E186" s="68" t="s">
        <v>249</v>
      </c>
      <c r="F186" s="68">
        <v>119</v>
      </c>
      <c r="G186" s="131">
        <f>1541.7*89.2%</f>
        <v>1375.1964</v>
      </c>
      <c r="H186" s="353">
        <f>1541.7*87.4%</f>
        <v>1347.4458000000002</v>
      </c>
    </row>
    <row r="187" spans="1:8" x14ac:dyDescent="0.2">
      <c r="A187" s="83" t="s">
        <v>650</v>
      </c>
      <c r="B187" s="67" t="s">
        <v>240</v>
      </c>
      <c r="C187" s="68" t="s">
        <v>242</v>
      </c>
      <c r="D187" s="67" t="s">
        <v>122</v>
      </c>
      <c r="E187" s="68" t="s">
        <v>249</v>
      </c>
      <c r="F187" s="68" t="s">
        <v>150</v>
      </c>
      <c r="G187" s="131">
        <f>G188</f>
        <v>50</v>
      </c>
      <c r="H187" s="353">
        <f>H188</f>
        <v>50</v>
      </c>
    </row>
    <row r="188" spans="1:8" ht="22.5" x14ac:dyDescent="0.2">
      <c r="A188" s="83" t="s">
        <v>151</v>
      </c>
      <c r="B188" s="67" t="s">
        <v>240</v>
      </c>
      <c r="C188" s="68" t="s">
        <v>242</v>
      </c>
      <c r="D188" s="67" t="s">
        <v>122</v>
      </c>
      <c r="E188" s="68" t="s">
        <v>249</v>
      </c>
      <c r="F188" s="68" t="s">
        <v>152</v>
      </c>
      <c r="G188" s="131">
        <f>+G189</f>
        <v>50</v>
      </c>
      <c r="H188" s="353">
        <f>+H189</f>
        <v>50</v>
      </c>
    </row>
    <row r="189" spans="1:8" ht="22.5" x14ac:dyDescent="0.2">
      <c r="A189" s="115" t="s">
        <v>153</v>
      </c>
      <c r="B189" s="67" t="s">
        <v>240</v>
      </c>
      <c r="C189" s="68" t="s">
        <v>242</v>
      </c>
      <c r="D189" s="67" t="s">
        <v>122</v>
      </c>
      <c r="E189" s="68" t="s">
        <v>249</v>
      </c>
      <c r="F189" s="68" t="s">
        <v>154</v>
      </c>
      <c r="G189" s="131">
        <v>50</v>
      </c>
      <c r="H189" s="353">
        <v>50</v>
      </c>
    </row>
    <row r="190" spans="1:8" ht="22.5" x14ac:dyDescent="0.2">
      <c r="A190" s="83" t="s">
        <v>129</v>
      </c>
      <c r="B190" s="67" t="s">
        <v>240</v>
      </c>
      <c r="C190" s="68" t="s">
        <v>242</v>
      </c>
      <c r="D190" s="67" t="s">
        <v>122</v>
      </c>
      <c r="E190" s="68" t="s">
        <v>249</v>
      </c>
      <c r="F190" s="68" t="s">
        <v>130</v>
      </c>
      <c r="G190" s="131">
        <f>G191</f>
        <v>34011.300000000003</v>
      </c>
      <c r="H190" s="353">
        <f>H191</f>
        <v>34942.1</v>
      </c>
    </row>
    <row r="191" spans="1:8" x14ac:dyDescent="0.2">
      <c r="A191" s="83" t="s">
        <v>131</v>
      </c>
      <c r="B191" s="67" t="s">
        <v>240</v>
      </c>
      <c r="C191" s="68" t="s">
        <v>242</v>
      </c>
      <c r="D191" s="67" t="s">
        <v>122</v>
      </c>
      <c r="E191" s="68" t="s">
        <v>249</v>
      </c>
      <c r="F191" s="68" t="s">
        <v>132</v>
      </c>
      <c r="G191" s="131">
        <f>G192</f>
        <v>34011.300000000003</v>
      </c>
      <c r="H191" s="353">
        <f>H192</f>
        <v>34942.1</v>
      </c>
    </row>
    <row r="192" spans="1:8" ht="33.75" x14ac:dyDescent="0.2">
      <c r="A192" s="83" t="s">
        <v>133</v>
      </c>
      <c r="B192" s="67" t="s">
        <v>240</v>
      </c>
      <c r="C192" s="68" t="s">
        <v>242</v>
      </c>
      <c r="D192" s="67" t="s">
        <v>122</v>
      </c>
      <c r="E192" s="68" t="s">
        <v>249</v>
      </c>
      <c r="F192" s="68" t="s">
        <v>134</v>
      </c>
      <c r="G192" s="131">
        <v>34011.300000000003</v>
      </c>
      <c r="H192" s="353">
        <v>34942.1</v>
      </c>
    </row>
    <row r="193" spans="1:9" ht="33.75" x14ac:dyDescent="0.2">
      <c r="A193" s="66" t="s">
        <v>250</v>
      </c>
      <c r="B193" s="67" t="s">
        <v>240</v>
      </c>
      <c r="C193" s="68" t="s">
        <v>242</v>
      </c>
      <c r="D193" s="67" t="s">
        <v>122</v>
      </c>
      <c r="E193" s="68" t="s">
        <v>251</v>
      </c>
      <c r="F193" s="68"/>
      <c r="G193" s="131">
        <f>G194</f>
        <v>256.09320000000002</v>
      </c>
      <c r="H193" s="353">
        <f>H194</f>
        <v>250.92540000000005</v>
      </c>
    </row>
    <row r="194" spans="1:9" ht="33.75" x14ac:dyDescent="0.2">
      <c r="A194" s="333" t="s">
        <v>663</v>
      </c>
      <c r="B194" s="305" t="s">
        <v>240</v>
      </c>
      <c r="C194" s="306" t="s">
        <v>242</v>
      </c>
      <c r="D194" s="305" t="s">
        <v>122</v>
      </c>
      <c r="E194" s="306" t="s">
        <v>252</v>
      </c>
      <c r="F194" s="306"/>
      <c r="G194" s="307">
        <f>G195+G198</f>
        <v>256.09320000000002</v>
      </c>
      <c r="H194" s="354">
        <f>H195+H198</f>
        <v>250.92540000000005</v>
      </c>
    </row>
    <row r="195" spans="1:9" ht="33.75" x14ac:dyDescent="0.2">
      <c r="A195" s="83" t="s">
        <v>139</v>
      </c>
      <c r="B195" s="67" t="s">
        <v>240</v>
      </c>
      <c r="C195" s="68" t="s">
        <v>242</v>
      </c>
      <c r="D195" s="67" t="s">
        <v>122</v>
      </c>
      <c r="E195" s="68" t="s">
        <v>252</v>
      </c>
      <c r="F195" s="68">
        <v>100</v>
      </c>
      <c r="G195" s="131">
        <f>G197</f>
        <v>32.379599999999996</v>
      </c>
      <c r="H195" s="353">
        <f>H197</f>
        <v>31.726200000000002</v>
      </c>
    </row>
    <row r="196" spans="1:9" x14ac:dyDescent="0.2">
      <c r="A196" s="83" t="s">
        <v>141</v>
      </c>
      <c r="B196" s="67" t="s">
        <v>240</v>
      </c>
      <c r="C196" s="68" t="s">
        <v>242</v>
      </c>
      <c r="D196" s="67" t="s">
        <v>122</v>
      </c>
      <c r="E196" s="68" t="s">
        <v>252</v>
      </c>
      <c r="F196" s="68">
        <v>110</v>
      </c>
      <c r="G196" s="131">
        <f>G197</f>
        <v>32.379599999999996</v>
      </c>
      <c r="H196" s="353">
        <f>H197</f>
        <v>31.726200000000002</v>
      </c>
    </row>
    <row r="197" spans="1:9" x14ac:dyDescent="0.2">
      <c r="A197" s="115" t="s">
        <v>565</v>
      </c>
      <c r="B197" s="67" t="s">
        <v>240</v>
      </c>
      <c r="C197" s="68" t="s">
        <v>242</v>
      </c>
      <c r="D197" s="67" t="s">
        <v>122</v>
      </c>
      <c r="E197" s="68" t="s">
        <v>252</v>
      </c>
      <c r="F197" s="68">
        <v>112</v>
      </c>
      <c r="G197" s="131">
        <f>36.3*89.2%</f>
        <v>32.379599999999996</v>
      </c>
      <c r="H197" s="353">
        <f>36.3*87.4%</f>
        <v>31.726200000000002</v>
      </c>
    </row>
    <row r="198" spans="1:9" ht="22.5" x14ac:dyDescent="0.2">
      <c r="A198" s="83" t="s">
        <v>129</v>
      </c>
      <c r="B198" s="67" t="s">
        <v>240</v>
      </c>
      <c r="C198" s="68" t="s">
        <v>242</v>
      </c>
      <c r="D198" s="67" t="s">
        <v>122</v>
      </c>
      <c r="E198" s="68" t="s">
        <v>252</v>
      </c>
      <c r="F198" s="68">
        <v>600</v>
      </c>
      <c r="G198" s="131">
        <f>G199</f>
        <v>223.71360000000001</v>
      </c>
      <c r="H198" s="353">
        <f>H199</f>
        <v>219.19920000000005</v>
      </c>
    </row>
    <row r="199" spans="1:9" x14ac:dyDescent="0.2">
      <c r="A199" s="83" t="s">
        <v>131</v>
      </c>
      <c r="B199" s="67" t="s">
        <v>240</v>
      </c>
      <c r="C199" s="68" t="s">
        <v>242</v>
      </c>
      <c r="D199" s="67" t="s">
        <v>122</v>
      </c>
      <c r="E199" s="68" t="s">
        <v>252</v>
      </c>
      <c r="F199" s="68">
        <v>610</v>
      </c>
      <c r="G199" s="131">
        <f>G200</f>
        <v>223.71360000000001</v>
      </c>
      <c r="H199" s="353">
        <f>H200</f>
        <v>219.19920000000005</v>
      </c>
      <c r="I199" s="148"/>
    </row>
    <row r="200" spans="1:9" ht="33.75" x14ac:dyDescent="0.2">
      <c r="A200" s="83" t="s">
        <v>133</v>
      </c>
      <c r="B200" s="67" t="s">
        <v>240</v>
      </c>
      <c r="C200" s="68" t="s">
        <v>242</v>
      </c>
      <c r="D200" s="67" t="s">
        <v>122</v>
      </c>
      <c r="E200" s="68" t="s">
        <v>252</v>
      </c>
      <c r="F200" s="68">
        <v>611</v>
      </c>
      <c r="G200" s="131">
        <f>250.8*89.2%</f>
        <v>223.71360000000001</v>
      </c>
      <c r="H200" s="353">
        <f>250.8*87.4%</f>
        <v>219.19920000000005</v>
      </c>
    </row>
    <row r="201" spans="1:9" x14ac:dyDescent="0.2">
      <c r="A201" s="61" t="s">
        <v>253</v>
      </c>
      <c r="B201" s="94" t="s">
        <v>240</v>
      </c>
      <c r="C201" s="96" t="s">
        <v>242</v>
      </c>
      <c r="D201" s="94" t="s">
        <v>254</v>
      </c>
      <c r="E201" s="96" t="s">
        <v>183</v>
      </c>
      <c r="F201" s="96" t="s">
        <v>184</v>
      </c>
      <c r="G201" s="138">
        <f>G202+G230+G240</f>
        <v>174306.49879999994</v>
      </c>
      <c r="H201" s="345">
        <f>H202+H230+H240</f>
        <v>175027.59859999997</v>
      </c>
      <c r="I201" s="148"/>
    </row>
    <row r="202" spans="1:9" x14ac:dyDescent="0.2">
      <c r="A202" s="98" t="s">
        <v>255</v>
      </c>
      <c r="B202" s="94" t="s">
        <v>240</v>
      </c>
      <c r="C202" s="96" t="s">
        <v>242</v>
      </c>
      <c r="D202" s="94" t="s">
        <v>254</v>
      </c>
      <c r="E202" s="96" t="s">
        <v>256</v>
      </c>
      <c r="F202" s="97" t="s">
        <v>184</v>
      </c>
      <c r="G202" s="133">
        <f>G217+G203</f>
        <v>171857.06279999996</v>
      </c>
      <c r="H202" s="347">
        <f>H217+H203</f>
        <v>172583.70659999998</v>
      </c>
    </row>
    <row r="203" spans="1:9" x14ac:dyDescent="0.2">
      <c r="A203" s="71" t="s">
        <v>127</v>
      </c>
      <c r="B203" s="67" t="s">
        <v>240</v>
      </c>
      <c r="C203" s="68" t="s">
        <v>242</v>
      </c>
      <c r="D203" s="67" t="s">
        <v>254</v>
      </c>
      <c r="E203" s="68" t="s">
        <v>257</v>
      </c>
      <c r="F203" s="84"/>
      <c r="G203" s="135">
        <f>G204+G208+G213</f>
        <v>14220.5316</v>
      </c>
      <c r="H203" s="349">
        <f>H204+H208+H213</f>
        <v>13933.570200000002</v>
      </c>
    </row>
    <row r="204" spans="1:9" x14ac:dyDescent="0.2">
      <c r="A204" s="83" t="s">
        <v>650</v>
      </c>
      <c r="B204" s="67" t="s">
        <v>240</v>
      </c>
      <c r="C204" s="68" t="s">
        <v>242</v>
      </c>
      <c r="D204" s="67" t="s">
        <v>254</v>
      </c>
      <c r="E204" s="68" t="s">
        <v>257</v>
      </c>
      <c r="F204" s="68" t="s">
        <v>150</v>
      </c>
      <c r="G204" s="131">
        <f>SUM(G205)</f>
        <v>1574.4691999999998</v>
      </c>
      <c r="H204" s="353">
        <f>SUM(H205)</f>
        <v>1542.6974000000002</v>
      </c>
    </row>
    <row r="205" spans="1:9" ht="22.5" x14ac:dyDescent="0.2">
      <c r="A205" s="83" t="s">
        <v>151</v>
      </c>
      <c r="B205" s="67" t="s">
        <v>240</v>
      </c>
      <c r="C205" s="68" t="s">
        <v>242</v>
      </c>
      <c r="D205" s="67" t="s">
        <v>254</v>
      </c>
      <c r="E205" s="68" t="s">
        <v>257</v>
      </c>
      <c r="F205" s="68" t="s">
        <v>152</v>
      </c>
      <c r="G205" s="131">
        <f>G206+G207</f>
        <v>1574.4691999999998</v>
      </c>
      <c r="H205" s="353">
        <f>H206+H207</f>
        <v>1542.6974000000002</v>
      </c>
    </row>
    <row r="206" spans="1:9" ht="22.5" x14ac:dyDescent="0.2">
      <c r="A206" s="115" t="s">
        <v>171</v>
      </c>
      <c r="B206" s="67" t="s">
        <v>240</v>
      </c>
      <c r="C206" s="68" t="s">
        <v>242</v>
      </c>
      <c r="D206" s="67" t="s">
        <v>254</v>
      </c>
      <c r="E206" s="68" t="s">
        <v>257</v>
      </c>
      <c r="F206" s="68">
        <v>242</v>
      </c>
      <c r="G206" s="131">
        <f>20*89.2%</f>
        <v>17.84</v>
      </c>
      <c r="H206" s="353">
        <f>20*87.4%</f>
        <v>17.480000000000004</v>
      </c>
    </row>
    <row r="207" spans="1:9" ht="22.5" x14ac:dyDescent="0.2">
      <c r="A207" s="115" t="s">
        <v>153</v>
      </c>
      <c r="B207" s="67" t="s">
        <v>240</v>
      </c>
      <c r="C207" s="68" t="s">
        <v>242</v>
      </c>
      <c r="D207" s="67" t="s">
        <v>254</v>
      </c>
      <c r="E207" s="68" t="s">
        <v>257</v>
      </c>
      <c r="F207" s="68" t="s">
        <v>154</v>
      </c>
      <c r="G207" s="131">
        <f>1745.1*89.2%</f>
        <v>1556.6291999999999</v>
      </c>
      <c r="H207" s="353">
        <f>1745.1*87.4%</f>
        <v>1525.2174000000002</v>
      </c>
    </row>
    <row r="208" spans="1:9" ht="22.5" x14ac:dyDescent="0.2">
      <c r="A208" s="83" t="s">
        <v>129</v>
      </c>
      <c r="B208" s="67" t="s">
        <v>240</v>
      </c>
      <c r="C208" s="68" t="s">
        <v>242</v>
      </c>
      <c r="D208" s="67" t="s">
        <v>254</v>
      </c>
      <c r="E208" s="68" t="s">
        <v>257</v>
      </c>
      <c r="F208" s="68">
        <v>600</v>
      </c>
      <c r="G208" s="131">
        <f>G209+G211</f>
        <v>12601.4624</v>
      </c>
      <c r="H208" s="353">
        <f>H209+H211</f>
        <v>12347.1728</v>
      </c>
    </row>
    <row r="209" spans="1:13" s="86" customFormat="1" ht="11.25" x14ac:dyDescent="0.2">
      <c r="A209" s="83" t="s">
        <v>131</v>
      </c>
      <c r="B209" s="67" t="s">
        <v>240</v>
      </c>
      <c r="C209" s="68" t="s">
        <v>242</v>
      </c>
      <c r="D209" s="67" t="s">
        <v>254</v>
      </c>
      <c r="E209" s="68" t="s">
        <v>257</v>
      </c>
      <c r="F209" s="68">
        <v>610</v>
      </c>
      <c r="G209" s="131">
        <f>G210</f>
        <v>11218.683999999999</v>
      </c>
      <c r="H209" s="353">
        <f>H210</f>
        <v>10992.298000000001</v>
      </c>
      <c r="I209" s="153"/>
      <c r="J209" s="153"/>
      <c r="K209" s="153"/>
      <c r="L209" s="153"/>
      <c r="M209" s="153"/>
    </row>
    <row r="210" spans="1:13" s="86" customFormat="1" ht="33.75" x14ac:dyDescent="0.2">
      <c r="A210" s="83" t="s">
        <v>133</v>
      </c>
      <c r="B210" s="67" t="s">
        <v>240</v>
      </c>
      <c r="C210" s="68" t="s">
        <v>242</v>
      </c>
      <c r="D210" s="67" t="s">
        <v>254</v>
      </c>
      <c r="E210" s="68" t="s">
        <v>257</v>
      </c>
      <c r="F210" s="68">
        <v>611</v>
      </c>
      <c r="G210" s="131">
        <f>12577*89.2%</f>
        <v>11218.683999999999</v>
      </c>
      <c r="H210" s="353">
        <f>12577*87.4%</f>
        <v>10992.298000000001</v>
      </c>
      <c r="I210" s="153"/>
      <c r="J210" s="153"/>
      <c r="K210" s="153"/>
      <c r="L210" s="153"/>
      <c r="M210" s="153"/>
    </row>
    <row r="211" spans="1:13" x14ac:dyDescent="0.2">
      <c r="A211" s="66" t="s">
        <v>444</v>
      </c>
      <c r="B211" s="67" t="s">
        <v>240</v>
      </c>
      <c r="C211" s="68" t="s">
        <v>242</v>
      </c>
      <c r="D211" s="67" t="s">
        <v>254</v>
      </c>
      <c r="E211" s="68" t="s">
        <v>257</v>
      </c>
      <c r="F211" s="68">
        <v>620</v>
      </c>
      <c r="G211" s="131">
        <f>G212</f>
        <v>1382.7784000000001</v>
      </c>
      <c r="H211" s="353">
        <f>H212</f>
        <v>1354.8748000000003</v>
      </c>
    </row>
    <row r="212" spans="1:13" ht="33.75" x14ac:dyDescent="0.2">
      <c r="A212" s="66" t="s">
        <v>445</v>
      </c>
      <c r="B212" s="67" t="s">
        <v>240</v>
      </c>
      <c r="C212" s="68" t="s">
        <v>242</v>
      </c>
      <c r="D212" s="67" t="s">
        <v>254</v>
      </c>
      <c r="E212" s="68" t="s">
        <v>257</v>
      </c>
      <c r="F212" s="68">
        <v>621</v>
      </c>
      <c r="G212" s="131">
        <f>1550.2*89.2%</f>
        <v>1382.7784000000001</v>
      </c>
      <c r="H212" s="353">
        <f>1550.2*87.4%</f>
        <v>1354.8748000000003</v>
      </c>
    </row>
    <row r="213" spans="1:13" x14ac:dyDescent="0.2">
      <c r="A213" s="70" t="s">
        <v>172</v>
      </c>
      <c r="B213" s="67" t="s">
        <v>240</v>
      </c>
      <c r="C213" s="68" t="s">
        <v>242</v>
      </c>
      <c r="D213" s="67" t="s">
        <v>254</v>
      </c>
      <c r="E213" s="68" t="s">
        <v>257</v>
      </c>
      <c r="F213" s="68" t="s">
        <v>235</v>
      </c>
      <c r="G213" s="131">
        <f>SUM(G214)</f>
        <v>44.599999999999994</v>
      </c>
      <c r="H213" s="353">
        <f>SUM(H214)</f>
        <v>43.7</v>
      </c>
    </row>
    <row r="214" spans="1:13" x14ac:dyDescent="0.2">
      <c r="A214" s="70" t="s">
        <v>173</v>
      </c>
      <c r="B214" s="67" t="s">
        <v>240</v>
      </c>
      <c r="C214" s="68" t="s">
        <v>242</v>
      </c>
      <c r="D214" s="67" t="s">
        <v>254</v>
      </c>
      <c r="E214" s="68" t="s">
        <v>257</v>
      </c>
      <c r="F214" s="68" t="s">
        <v>174</v>
      </c>
      <c r="G214" s="131">
        <f>SUM(G215:G216)</f>
        <v>44.599999999999994</v>
      </c>
      <c r="H214" s="353">
        <f>SUM(H215:H216)</f>
        <v>43.7</v>
      </c>
    </row>
    <row r="215" spans="1:13" x14ac:dyDescent="0.2">
      <c r="A215" s="75" t="s">
        <v>175</v>
      </c>
      <c r="B215" s="67" t="s">
        <v>240</v>
      </c>
      <c r="C215" s="68" t="s">
        <v>242</v>
      </c>
      <c r="D215" s="67" t="s">
        <v>254</v>
      </c>
      <c r="E215" s="68" t="s">
        <v>257</v>
      </c>
      <c r="F215" s="68" t="s">
        <v>176</v>
      </c>
      <c r="G215" s="131">
        <f>22*89.2%</f>
        <v>19.623999999999999</v>
      </c>
      <c r="H215" s="353">
        <f>22*87.4%</f>
        <v>19.228000000000002</v>
      </c>
    </row>
    <row r="216" spans="1:13" x14ac:dyDescent="0.2">
      <c r="A216" s="70" t="s">
        <v>564</v>
      </c>
      <c r="B216" s="67" t="s">
        <v>240</v>
      </c>
      <c r="C216" s="68" t="s">
        <v>242</v>
      </c>
      <c r="D216" s="67" t="s">
        <v>254</v>
      </c>
      <c r="E216" s="68" t="s">
        <v>257</v>
      </c>
      <c r="F216" s="68">
        <v>853</v>
      </c>
      <c r="G216" s="131">
        <f>28*89.2%</f>
        <v>24.975999999999999</v>
      </c>
      <c r="H216" s="353">
        <f>28*87.4%</f>
        <v>24.472000000000001</v>
      </c>
    </row>
    <row r="217" spans="1:13" x14ac:dyDescent="0.2">
      <c r="A217" s="304" t="s">
        <v>655</v>
      </c>
      <c r="B217" s="305" t="s">
        <v>240</v>
      </c>
      <c r="C217" s="306" t="s">
        <v>242</v>
      </c>
      <c r="D217" s="305" t="s">
        <v>254</v>
      </c>
      <c r="E217" s="306" t="s">
        <v>260</v>
      </c>
      <c r="F217" s="306" t="s">
        <v>184</v>
      </c>
      <c r="G217" s="307">
        <f>G218+G222+G225</f>
        <v>157636.53119999997</v>
      </c>
      <c r="H217" s="354">
        <f>H218+H222+H225</f>
        <v>158650.13639999999</v>
      </c>
    </row>
    <row r="218" spans="1:13" ht="33.75" x14ac:dyDescent="0.2">
      <c r="A218" s="83" t="s">
        <v>139</v>
      </c>
      <c r="B218" s="67" t="s">
        <v>240</v>
      </c>
      <c r="C218" s="68" t="s">
        <v>242</v>
      </c>
      <c r="D218" s="67" t="s">
        <v>254</v>
      </c>
      <c r="E218" s="68" t="s">
        <v>260</v>
      </c>
      <c r="F218" s="68" t="s">
        <v>140</v>
      </c>
      <c r="G218" s="131">
        <f>G219</f>
        <v>11262.3</v>
      </c>
      <c r="H218" s="353">
        <f>H219</f>
        <v>11262.3</v>
      </c>
    </row>
    <row r="219" spans="1:13" x14ac:dyDescent="0.2">
      <c r="A219" s="83" t="s">
        <v>141</v>
      </c>
      <c r="B219" s="67" t="s">
        <v>240</v>
      </c>
      <c r="C219" s="68" t="s">
        <v>242</v>
      </c>
      <c r="D219" s="67" t="s">
        <v>254</v>
      </c>
      <c r="E219" s="68" t="s">
        <v>260</v>
      </c>
      <c r="F219" s="68">
        <v>110</v>
      </c>
      <c r="G219" s="131">
        <f>G220+G221</f>
        <v>11262.3</v>
      </c>
      <c r="H219" s="353">
        <f>H220+H221</f>
        <v>11262.3</v>
      </c>
    </row>
    <row r="220" spans="1:13" x14ac:dyDescent="0.2">
      <c r="A220" s="83" t="s">
        <v>142</v>
      </c>
      <c r="B220" s="67" t="s">
        <v>240</v>
      </c>
      <c r="C220" s="68" t="s">
        <v>242</v>
      </c>
      <c r="D220" s="67" t="s">
        <v>254</v>
      </c>
      <c r="E220" s="68" t="s">
        <v>260</v>
      </c>
      <c r="F220" s="68">
        <v>111</v>
      </c>
      <c r="G220" s="131">
        <v>8650</v>
      </c>
      <c r="H220" s="353">
        <v>8650</v>
      </c>
    </row>
    <row r="221" spans="1:13" ht="22.5" x14ac:dyDescent="0.2">
      <c r="A221" s="114" t="s">
        <v>143</v>
      </c>
      <c r="B221" s="67" t="s">
        <v>240</v>
      </c>
      <c r="C221" s="68" t="s">
        <v>242</v>
      </c>
      <c r="D221" s="67" t="s">
        <v>254</v>
      </c>
      <c r="E221" s="68" t="s">
        <v>260</v>
      </c>
      <c r="F221" s="68">
        <v>119</v>
      </c>
      <c r="G221" s="131">
        <v>2612.3000000000002</v>
      </c>
      <c r="H221" s="353">
        <v>2612.3000000000002</v>
      </c>
    </row>
    <row r="222" spans="1:13" x14ac:dyDescent="0.2">
      <c r="A222" s="83" t="s">
        <v>650</v>
      </c>
      <c r="B222" s="67" t="s">
        <v>240</v>
      </c>
      <c r="C222" s="68" t="s">
        <v>242</v>
      </c>
      <c r="D222" s="67" t="s">
        <v>254</v>
      </c>
      <c r="E222" s="68" t="s">
        <v>260</v>
      </c>
      <c r="F222" s="68" t="s">
        <v>150</v>
      </c>
      <c r="G222" s="131">
        <f>SUM(G223)</f>
        <v>50</v>
      </c>
      <c r="H222" s="353">
        <f>SUM(H223)</f>
        <v>50</v>
      </c>
    </row>
    <row r="223" spans="1:13" ht="22.5" x14ac:dyDescent="0.2">
      <c r="A223" s="83" t="s">
        <v>151</v>
      </c>
      <c r="B223" s="67" t="s">
        <v>240</v>
      </c>
      <c r="C223" s="68" t="s">
        <v>242</v>
      </c>
      <c r="D223" s="67" t="s">
        <v>254</v>
      </c>
      <c r="E223" s="68" t="s">
        <v>260</v>
      </c>
      <c r="F223" s="68" t="s">
        <v>152</v>
      </c>
      <c r="G223" s="131">
        <f>SUM(G224)</f>
        <v>50</v>
      </c>
      <c r="H223" s="353">
        <f>SUM(H224)</f>
        <v>50</v>
      </c>
    </row>
    <row r="224" spans="1:13" ht="22.5" x14ac:dyDescent="0.2">
      <c r="A224" s="115" t="s">
        <v>153</v>
      </c>
      <c r="B224" s="67" t="s">
        <v>240</v>
      </c>
      <c r="C224" s="68" t="s">
        <v>242</v>
      </c>
      <c r="D224" s="67" t="s">
        <v>254</v>
      </c>
      <c r="E224" s="68" t="s">
        <v>260</v>
      </c>
      <c r="F224" s="68" t="s">
        <v>154</v>
      </c>
      <c r="G224" s="131">
        <v>50</v>
      </c>
      <c r="H224" s="353">
        <v>50</v>
      </c>
    </row>
    <row r="225" spans="1:8" ht="22.5" x14ac:dyDescent="0.2">
      <c r="A225" s="83" t="s">
        <v>129</v>
      </c>
      <c r="B225" s="67" t="s">
        <v>240</v>
      </c>
      <c r="C225" s="68" t="s">
        <v>242</v>
      </c>
      <c r="D225" s="68" t="s">
        <v>254</v>
      </c>
      <c r="E225" s="218" t="s">
        <v>260</v>
      </c>
      <c r="F225" s="68" t="s">
        <v>130</v>
      </c>
      <c r="G225" s="131">
        <f>G226+G228</f>
        <v>146324.23119999998</v>
      </c>
      <c r="H225" s="353">
        <f>H226+H228</f>
        <v>147337.8364</v>
      </c>
    </row>
    <row r="226" spans="1:8" x14ac:dyDescent="0.2">
      <c r="A226" s="83" t="s">
        <v>131</v>
      </c>
      <c r="B226" s="67" t="s">
        <v>240</v>
      </c>
      <c r="C226" s="68" t="s">
        <v>242</v>
      </c>
      <c r="D226" s="68" t="s">
        <v>254</v>
      </c>
      <c r="E226" s="218" t="s">
        <v>260</v>
      </c>
      <c r="F226" s="68" t="s">
        <v>132</v>
      </c>
      <c r="G226" s="131">
        <f>G227</f>
        <v>128940.4</v>
      </c>
      <c r="H226" s="353">
        <f>H227</f>
        <v>130304.8</v>
      </c>
    </row>
    <row r="227" spans="1:8" ht="33.75" x14ac:dyDescent="0.2">
      <c r="A227" s="83" t="s">
        <v>133</v>
      </c>
      <c r="B227" s="67" t="s">
        <v>240</v>
      </c>
      <c r="C227" s="68" t="s">
        <v>242</v>
      </c>
      <c r="D227" s="68" t="s">
        <v>254</v>
      </c>
      <c r="E227" s="218" t="s">
        <v>260</v>
      </c>
      <c r="F227" s="68" t="s">
        <v>134</v>
      </c>
      <c r="G227" s="131">
        <v>128940.4</v>
      </c>
      <c r="H227" s="353">
        <v>130304.8</v>
      </c>
    </row>
    <row r="228" spans="1:8" x14ac:dyDescent="0.2">
      <c r="A228" s="66" t="s">
        <v>444</v>
      </c>
      <c r="B228" s="67" t="s">
        <v>240</v>
      </c>
      <c r="C228" s="68" t="s">
        <v>242</v>
      </c>
      <c r="D228" s="68" t="s">
        <v>254</v>
      </c>
      <c r="E228" s="218" t="s">
        <v>260</v>
      </c>
      <c r="F228" s="68">
        <v>620</v>
      </c>
      <c r="G228" s="131">
        <f>G229</f>
        <v>17383.831200000001</v>
      </c>
      <c r="H228" s="353">
        <f>H229</f>
        <v>17033.036400000001</v>
      </c>
    </row>
    <row r="229" spans="1:8" ht="33.75" x14ac:dyDescent="0.2">
      <c r="A229" s="66" t="s">
        <v>445</v>
      </c>
      <c r="B229" s="67" t="s">
        <v>240</v>
      </c>
      <c r="C229" s="68" t="s">
        <v>242</v>
      </c>
      <c r="D229" s="68" t="s">
        <v>254</v>
      </c>
      <c r="E229" s="218" t="s">
        <v>260</v>
      </c>
      <c r="F229" s="68">
        <v>621</v>
      </c>
      <c r="G229" s="131">
        <f>19488.6*89.2%</f>
        <v>17383.831200000001</v>
      </c>
      <c r="H229" s="353">
        <f>19488.6*87.4%</f>
        <v>17033.036400000001</v>
      </c>
    </row>
    <row r="230" spans="1:8" ht="33.75" x14ac:dyDescent="0.2">
      <c r="A230" s="236" t="s">
        <v>568</v>
      </c>
      <c r="B230" s="101" t="s">
        <v>240</v>
      </c>
      <c r="C230" s="103" t="s">
        <v>242</v>
      </c>
      <c r="D230" s="103" t="s">
        <v>254</v>
      </c>
      <c r="E230" s="103" t="s">
        <v>251</v>
      </c>
      <c r="F230" s="103"/>
      <c r="G230" s="143">
        <f>G231</f>
        <v>910.53600000000006</v>
      </c>
      <c r="H230" s="357">
        <f>H231</f>
        <v>895.0920000000001</v>
      </c>
    </row>
    <row r="231" spans="1:8" ht="33.75" x14ac:dyDescent="0.2">
      <c r="A231" s="333" t="s">
        <v>83</v>
      </c>
      <c r="B231" s="305" t="s">
        <v>240</v>
      </c>
      <c r="C231" s="306" t="s">
        <v>242</v>
      </c>
      <c r="D231" s="306" t="s">
        <v>254</v>
      </c>
      <c r="E231" s="306" t="s">
        <v>252</v>
      </c>
      <c r="F231" s="306"/>
      <c r="G231" s="307">
        <f>G232+G235</f>
        <v>910.53600000000006</v>
      </c>
      <c r="H231" s="354">
        <f>H232+H235</f>
        <v>895.0920000000001</v>
      </c>
    </row>
    <row r="232" spans="1:8" ht="33.75" x14ac:dyDescent="0.2">
      <c r="A232" s="83" t="s">
        <v>139</v>
      </c>
      <c r="B232" s="67" t="s">
        <v>240</v>
      </c>
      <c r="C232" s="68" t="s">
        <v>242</v>
      </c>
      <c r="D232" s="68" t="s">
        <v>254</v>
      </c>
      <c r="E232" s="68" t="s">
        <v>252</v>
      </c>
      <c r="F232" s="68">
        <v>100</v>
      </c>
      <c r="G232" s="131">
        <f>G233</f>
        <v>46.2</v>
      </c>
      <c r="H232" s="353">
        <f>H233</f>
        <v>46.2</v>
      </c>
    </row>
    <row r="233" spans="1:8" x14ac:dyDescent="0.2">
      <c r="A233" s="83" t="s">
        <v>141</v>
      </c>
      <c r="B233" s="67" t="s">
        <v>240</v>
      </c>
      <c r="C233" s="68" t="s">
        <v>242</v>
      </c>
      <c r="D233" s="68" t="s">
        <v>254</v>
      </c>
      <c r="E233" s="68" t="s">
        <v>252</v>
      </c>
      <c r="F233" s="68">
        <v>110</v>
      </c>
      <c r="G233" s="131">
        <f>G234</f>
        <v>46.2</v>
      </c>
      <c r="H233" s="353">
        <f>H234</f>
        <v>46.2</v>
      </c>
    </row>
    <row r="234" spans="1:8" x14ac:dyDescent="0.2">
      <c r="A234" s="115" t="s">
        <v>565</v>
      </c>
      <c r="B234" s="67" t="s">
        <v>240</v>
      </c>
      <c r="C234" s="68" t="s">
        <v>242</v>
      </c>
      <c r="D234" s="68" t="s">
        <v>254</v>
      </c>
      <c r="E234" s="68" t="s">
        <v>252</v>
      </c>
      <c r="F234" s="68">
        <v>112</v>
      </c>
      <c r="G234" s="131">
        <v>46.2</v>
      </c>
      <c r="H234" s="353">
        <v>46.2</v>
      </c>
    </row>
    <row r="235" spans="1:8" ht="22.5" x14ac:dyDescent="0.2">
      <c r="A235" s="83" t="s">
        <v>129</v>
      </c>
      <c r="B235" s="67" t="s">
        <v>240</v>
      </c>
      <c r="C235" s="68" t="s">
        <v>242</v>
      </c>
      <c r="D235" s="68" t="s">
        <v>254</v>
      </c>
      <c r="E235" s="68" t="s">
        <v>252</v>
      </c>
      <c r="F235" s="68">
        <v>600</v>
      </c>
      <c r="G235" s="131">
        <f>G236+G238</f>
        <v>864.33600000000001</v>
      </c>
      <c r="H235" s="353">
        <f>H236+H238</f>
        <v>848.89200000000005</v>
      </c>
    </row>
    <row r="236" spans="1:8" x14ac:dyDescent="0.2">
      <c r="A236" s="83" t="s">
        <v>131</v>
      </c>
      <c r="B236" s="67" t="s">
        <v>240</v>
      </c>
      <c r="C236" s="68" t="s">
        <v>242</v>
      </c>
      <c r="D236" s="68" t="s">
        <v>254</v>
      </c>
      <c r="E236" s="68" t="s">
        <v>252</v>
      </c>
      <c r="F236" s="68">
        <v>610</v>
      </c>
      <c r="G236" s="131">
        <f>G237</f>
        <v>765.33600000000001</v>
      </c>
      <c r="H236" s="353">
        <f>H237</f>
        <v>749.89200000000005</v>
      </c>
    </row>
    <row r="237" spans="1:8" ht="33.75" x14ac:dyDescent="0.2">
      <c r="A237" s="83" t="s">
        <v>133</v>
      </c>
      <c r="B237" s="67" t="s">
        <v>240</v>
      </c>
      <c r="C237" s="68" t="s">
        <v>242</v>
      </c>
      <c r="D237" s="68" t="s">
        <v>254</v>
      </c>
      <c r="E237" s="68" t="s">
        <v>252</v>
      </c>
      <c r="F237" s="68">
        <v>611</v>
      </c>
      <c r="G237" s="131">
        <f>858*89.2%</f>
        <v>765.33600000000001</v>
      </c>
      <c r="H237" s="353">
        <f>858*87.4%</f>
        <v>749.89200000000005</v>
      </c>
    </row>
    <row r="238" spans="1:8" x14ac:dyDescent="0.2">
      <c r="A238" s="66" t="s">
        <v>444</v>
      </c>
      <c r="B238" s="67" t="s">
        <v>240</v>
      </c>
      <c r="C238" s="68" t="s">
        <v>242</v>
      </c>
      <c r="D238" s="68" t="s">
        <v>254</v>
      </c>
      <c r="E238" s="68" t="s">
        <v>252</v>
      </c>
      <c r="F238" s="68">
        <v>620</v>
      </c>
      <c r="G238" s="131">
        <f>G239</f>
        <v>99</v>
      </c>
      <c r="H238" s="353">
        <f>H239</f>
        <v>99</v>
      </c>
    </row>
    <row r="239" spans="1:8" ht="33.75" x14ac:dyDescent="0.2">
      <c r="A239" s="66" t="s">
        <v>445</v>
      </c>
      <c r="B239" s="67" t="s">
        <v>240</v>
      </c>
      <c r="C239" s="68" t="s">
        <v>242</v>
      </c>
      <c r="D239" s="68" t="s">
        <v>254</v>
      </c>
      <c r="E239" s="68" t="s">
        <v>252</v>
      </c>
      <c r="F239" s="68">
        <v>621</v>
      </c>
      <c r="G239" s="131">
        <v>99</v>
      </c>
      <c r="H239" s="353">
        <v>99</v>
      </c>
    </row>
    <row r="240" spans="1:8" ht="33.75" x14ac:dyDescent="0.2">
      <c r="A240" s="304" t="s">
        <v>665</v>
      </c>
      <c r="B240" s="305" t="s">
        <v>240</v>
      </c>
      <c r="C240" s="306" t="s">
        <v>242</v>
      </c>
      <c r="D240" s="306" t="s">
        <v>254</v>
      </c>
      <c r="E240" s="335" t="s">
        <v>566</v>
      </c>
      <c r="F240" s="306" t="s">
        <v>184</v>
      </c>
      <c r="G240" s="307">
        <f t="shared" ref="G240:H242" si="10">G241</f>
        <v>1538.9</v>
      </c>
      <c r="H240" s="354">
        <f t="shared" si="10"/>
        <v>1548.8</v>
      </c>
    </row>
    <row r="241" spans="1:9" ht="22.5" x14ac:dyDescent="0.2">
      <c r="A241" s="83" t="s">
        <v>129</v>
      </c>
      <c r="B241" s="67" t="s">
        <v>240</v>
      </c>
      <c r="C241" s="68" t="s">
        <v>242</v>
      </c>
      <c r="D241" s="68" t="s">
        <v>254</v>
      </c>
      <c r="E241" s="218" t="s">
        <v>566</v>
      </c>
      <c r="F241" s="68" t="s">
        <v>130</v>
      </c>
      <c r="G241" s="131">
        <f t="shared" si="10"/>
        <v>1538.9</v>
      </c>
      <c r="H241" s="353">
        <f t="shared" si="10"/>
        <v>1548.8</v>
      </c>
    </row>
    <row r="242" spans="1:9" x14ac:dyDescent="0.2">
      <c r="A242" s="83" t="s">
        <v>131</v>
      </c>
      <c r="B242" s="67" t="s">
        <v>240</v>
      </c>
      <c r="C242" s="68" t="s">
        <v>242</v>
      </c>
      <c r="D242" s="68" t="s">
        <v>254</v>
      </c>
      <c r="E242" s="218" t="s">
        <v>566</v>
      </c>
      <c r="F242" s="68" t="s">
        <v>132</v>
      </c>
      <c r="G242" s="131">
        <f t="shared" si="10"/>
        <v>1538.9</v>
      </c>
      <c r="H242" s="353">
        <f t="shared" si="10"/>
        <v>1548.8</v>
      </c>
    </row>
    <row r="243" spans="1:9" x14ac:dyDescent="0.2">
      <c r="A243" s="66" t="s">
        <v>567</v>
      </c>
      <c r="B243" s="67" t="s">
        <v>240</v>
      </c>
      <c r="C243" s="68" t="s">
        <v>242</v>
      </c>
      <c r="D243" s="68" t="s">
        <v>254</v>
      </c>
      <c r="E243" s="218" t="s">
        <v>566</v>
      </c>
      <c r="F243" s="68">
        <v>612</v>
      </c>
      <c r="G243" s="131">
        <v>1538.9</v>
      </c>
      <c r="H243" s="353">
        <v>1548.8</v>
      </c>
    </row>
    <row r="244" spans="1:9" x14ac:dyDescent="0.2">
      <c r="A244" s="98" t="s">
        <v>448</v>
      </c>
      <c r="B244" s="99" t="s">
        <v>240</v>
      </c>
      <c r="C244" s="97" t="s">
        <v>242</v>
      </c>
      <c r="D244" s="99" t="s">
        <v>188</v>
      </c>
      <c r="E244" s="97"/>
      <c r="F244" s="97" t="s">
        <v>184</v>
      </c>
      <c r="G244" s="138">
        <f>G245+G249</f>
        <v>30490.700799999999</v>
      </c>
      <c r="H244" s="345">
        <f>H245+H249</f>
        <v>29875.417600000004</v>
      </c>
      <c r="I244" s="148"/>
    </row>
    <row r="245" spans="1:9" x14ac:dyDescent="0.2">
      <c r="A245" s="83" t="s">
        <v>450</v>
      </c>
      <c r="B245" s="87" t="s">
        <v>240</v>
      </c>
      <c r="C245" s="84" t="s">
        <v>242</v>
      </c>
      <c r="D245" s="87" t="s">
        <v>188</v>
      </c>
      <c r="E245" s="84" t="s">
        <v>451</v>
      </c>
      <c r="F245" s="84" t="s">
        <v>184</v>
      </c>
      <c r="G245" s="131">
        <f t="shared" ref="G245:H247" si="11">G246</f>
        <v>30322.2912</v>
      </c>
      <c r="H245" s="353">
        <f t="shared" si="11"/>
        <v>29710.406400000003</v>
      </c>
    </row>
    <row r="246" spans="1:9" ht="22.5" x14ac:dyDescent="0.2">
      <c r="A246" s="83" t="s">
        <v>129</v>
      </c>
      <c r="B246" s="87" t="s">
        <v>240</v>
      </c>
      <c r="C246" s="84" t="s">
        <v>242</v>
      </c>
      <c r="D246" s="87" t="s">
        <v>188</v>
      </c>
      <c r="E246" s="84" t="s">
        <v>451</v>
      </c>
      <c r="F246" s="84">
        <v>600</v>
      </c>
      <c r="G246" s="131">
        <f t="shared" si="11"/>
        <v>30322.2912</v>
      </c>
      <c r="H246" s="353">
        <f t="shared" si="11"/>
        <v>29710.406400000003</v>
      </c>
    </row>
    <row r="247" spans="1:9" x14ac:dyDescent="0.2">
      <c r="A247" s="83" t="s">
        <v>131</v>
      </c>
      <c r="B247" s="87" t="s">
        <v>240</v>
      </c>
      <c r="C247" s="84" t="s">
        <v>242</v>
      </c>
      <c r="D247" s="87" t="s">
        <v>188</v>
      </c>
      <c r="E247" s="84" t="s">
        <v>451</v>
      </c>
      <c r="F247" s="84">
        <v>610</v>
      </c>
      <c r="G247" s="131">
        <f t="shared" si="11"/>
        <v>30322.2912</v>
      </c>
      <c r="H247" s="353">
        <f t="shared" si="11"/>
        <v>29710.406400000003</v>
      </c>
    </row>
    <row r="248" spans="1:9" ht="33.75" x14ac:dyDescent="0.2">
      <c r="A248" s="83" t="s">
        <v>133</v>
      </c>
      <c r="B248" s="87" t="s">
        <v>240</v>
      </c>
      <c r="C248" s="84" t="s">
        <v>242</v>
      </c>
      <c r="D248" s="87" t="s">
        <v>188</v>
      </c>
      <c r="E248" s="84" t="s">
        <v>451</v>
      </c>
      <c r="F248" s="84">
        <v>611</v>
      </c>
      <c r="G248" s="131">
        <f>33993.6*89.2%</f>
        <v>30322.2912</v>
      </c>
      <c r="H248" s="353">
        <f>33993.6*87.4%</f>
        <v>29710.406400000003</v>
      </c>
    </row>
    <row r="249" spans="1:9" ht="33.75" x14ac:dyDescent="0.2">
      <c r="A249" s="83" t="s">
        <v>568</v>
      </c>
      <c r="B249" s="87" t="s">
        <v>240</v>
      </c>
      <c r="C249" s="84" t="s">
        <v>242</v>
      </c>
      <c r="D249" s="87" t="s">
        <v>188</v>
      </c>
      <c r="E249" s="84" t="s">
        <v>251</v>
      </c>
      <c r="F249" s="84"/>
      <c r="G249" s="131">
        <f t="shared" ref="G249:H252" si="12">G250</f>
        <v>168.40960000000001</v>
      </c>
      <c r="H249" s="353">
        <f t="shared" si="12"/>
        <v>165.01120000000003</v>
      </c>
    </row>
    <row r="250" spans="1:9" ht="33.75" x14ac:dyDescent="0.2">
      <c r="A250" s="333" t="s">
        <v>83</v>
      </c>
      <c r="B250" s="311" t="s">
        <v>240</v>
      </c>
      <c r="C250" s="230" t="s">
        <v>242</v>
      </c>
      <c r="D250" s="311" t="s">
        <v>188</v>
      </c>
      <c r="E250" s="230" t="s">
        <v>252</v>
      </c>
      <c r="F250" s="230"/>
      <c r="G250" s="307">
        <f t="shared" si="12"/>
        <v>168.40960000000001</v>
      </c>
      <c r="H250" s="354">
        <f t="shared" si="12"/>
        <v>165.01120000000003</v>
      </c>
    </row>
    <row r="251" spans="1:9" ht="22.5" x14ac:dyDescent="0.2">
      <c r="A251" s="83" t="s">
        <v>129</v>
      </c>
      <c r="B251" s="87" t="s">
        <v>240</v>
      </c>
      <c r="C251" s="84" t="s">
        <v>242</v>
      </c>
      <c r="D251" s="87" t="s">
        <v>188</v>
      </c>
      <c r="E251" s="84" t="s">
        <v>252</v>
      </c>
      <c r="F251" s="68">
        <v>600</v>
      </c>
      <c r="G251" s="131">
        <f t="shared" si="12"/>
        <v>168.40960000000001</v>
      </c>
      <c r="H251" s="353">
        <f t="shared" si="12"/>
        <v>165.01120000000003</v>
      </c>
    </row>
    <row r="252" spans="1:9" x14ac:dyDescent="0.2">
      <c r="A252" s="83" t="s">
        <v>131</v>
      </c>
      <c r="B252" s="87" t="s">
        <v>240</v>
      </c>
      <c r="C252" s="84" t="s">
        <v>242</v>
      </c>
      <c r="D252" s="87" t="s">
        <v>188</v>
      </c>
      <c r="E252" s="84" t="s">
        <v>252</v>
      </c>
      <c r="F252" s="68">
        <v>610</v>
      </c>
      <c r="G252" s="131">
        <f t="shared" si="12"/>
        <v>168.40960000000001</v>
      </c>
      <c r="H252" s="353">
        <f t="shared" si="12"/>
        <v>165.01120000000003</v>
      </c>
    </row>
    <row r="253" spans="1:9" ht="33.75" x14ac:dyDescent="0.2">
      <c r="A253" s="83" t="s">
        <v>133</v>
      </c>
      <c r="B253" s="87" t="s">
        <v>240</v>
      </c>
      <c r="C253" s="84" t="s">
        <v>242</v>
      </c>
      <c r="D253" s="87" t="s">
        <v>188</v>
      </c>
      <c r="E253" s="84" t="s">
        <v>252</v>
      </c>
      <c r="F253" s="68">
        <v>611</v>
      </c>
      <c r="G253" s="131">
        <f>188.8*89.2%</f>
        <v>168.40960000000001</v>
      </c>
      <c r="H253" s="353">
        <f>188.8*87.4%</f>
        <v>165.01120000000003</v>
      </c>
    </row>
    <row r="254" spans="1:9" x14ac:dyDescent="0.2">
      <c r="A254" s="98" t="s">
        <v>504</v>
      </c>
      <c r="B254" s="95" t="s">
        <v>240</v>
      </c>
      <c r="C254" s="94" t="s">
        <v>242</v>
      </c>
      <c r="D254" s="94" t="s">
        <v>242</v>
      </c>
      <c r="E254" s="96"/>
      <c r="F254" s="96"/>
      <c r="G254" s="138">
        <f>G255</f>
        <v>2164.4</v>
      </c>
      <c r="H254" s="345">
        <f>H255</f>
        <v>2173.4</v>
      </c>
      <c r="I254" s="148"/>
    </row>
    <row r="255" spans="1:9" x14ac:dyDescent="0.2">
      <c r="A255" s="83" t="s">
        <v>506</v>
      </c>
      <c r="B255" s="62" t="s">
        <v>240</v>
      </c>
      <c r="C255" s="68" t="s">
        <v>242</v>
      </c>
      <c r="D255" s="68" t="s">
        <v>242</v>
      </c>
      <c r="E255" s="68" t="s">
        <v>507</v>
      </c>
      <c r="F255" s="68" t="s">
        <v>184</v>
      </c>
      <c r="G255" s="131">
        <f>G256</f>
        <v>2164.4</v>
      </c>
      <c r="H255" s="353">
        <f>H256</f>
        <v>2173.4</v>
      </c>
      <c r="I255" s="148"/>
    </row>
    <row r="256" spans="1:9" x14ac:dyDescent="0.2">
      <c r="A256" s="83" t="s">
        <v>508</v>
      </c>
      <c r="B256" s="62" t="s">
        <v>240</v>
      </c>
      <c r="C256" s="68" t="s">
        <v>242</v>
      </c>
      <c r="D256" s="67" t="s">
        <v>242</v>
      </c>
      <c r="E256" s="68" t="s">
        <v>509</v>
      </c>
      <c r="F256" s="68"/>
      <c r="G256" s="131">
        <f>G258</f>
        <v>2164.4</v>
      </c>
      <c r="H256" s="353">
        <f>H258</f>
        <v>2173.4</v>
      </c>
    </row>
    <row r="257" spans="1:13" x14ac:dyDescent="0.2">
      <c r="A257" s="308" t="s">
        <v>664</v>
      </c>
      <c r="B257" s="334" t="s">
        <v>240</v>
      </c>
      <c r="C257" s="306" t="s">
        <v>242</v>
      </c>
      <c r="D257" s="305" t="s">
        <v>242</v>
      </c>
      <c r="E257" s="306" t="s">
        <v>510</v>
      </c>
      <c r="F257" s="306"/>
      <c r="G257" s="307">
        <f>G258-770</f>
        <v>1394.4</v>
      </c>
      <c r="H257" s="354">
        <f>H258-770</f>
        <v>1403.4</v>
      </c>
    </row>
    <row r="258" spans="1:13" ht="22.5" x14ac:dyDescent="0.2">
      <c r="A258" s="83" t="s">
        <v>129</v>
      </c>
      <c r="B258" s="62" t="s">
        <v>240</v>
      </c>
      <c r="C258" s="68" t="s">
        <v>242</v>
      </c>
      <c r="D258" s="67" t="s">
        <v>242</v>
      </c>
      <c r="E258" s="68" t="s">
        <v>510</v>
      </c>
      <c r="F258" s="68">
        <v>600</v>
      </c>
      <c r="G258" s="131">
        <f>G259+G261</f>
        <v>2164.4</v>
      </c>
      <c r="H258" s="353">
        <f>H259+H261</f>
        <v>2173.4</v>
      </c>
    </row>
    <row r="259" spans="1:13" x14ac:dyDescent="0.2">
      <c r="A259" s="83" t="s">
        <v>131</v>
      </c>
      <c r="B259" s="62" t="s">
        <v>240</v>
      </c>
      <c r="C259" s="68" t="s">
        <v>242</v>
      </c>
      <c r="D259" s="67" t="s">
        <v>242</v>
      </c>
      <c r="E259" s="68" t="s">
        <v>510</v>
      </c>
      <c r="F259" s="68">
        <v>610</v>
      </c>
      <c r="G259" s="131">
        <f>G260</f>
        <v>1992.2</v>
      </c>
      <c r="H259" s="353">
        <f>H260</f>
        <v>2001.2</v>
      </c>
    </row>
    <row r="260" spans="1:13" ht="33.75" x14ac:dyDescent="0.2">
      <c r="A260" s="83" t="s">
        <v>133</v>
      </c>
      <c r="B260" s="62" t="s">
        <v>240</v>
      </c>
      <c r="C260" s="68" t="s">
        <v>242</v>
      </c>
      <c r="D260" s="67" t="s">
        <v>242</v>
      </c>
      <c r="E260" s="68" t="s">
        <v>510</v>
      </c>
      <c r="F260" s="68">
        <v>611</v>
      </c>
      <c r="G260" s="131">
        <f>1222.2+770</f>
        <v>1992.2</v>
      </c>
      <c r="H260" s="353">
        <f>1231.2+770</f>
        <v>2001.2</v>
      </c>
    </row>
    <row r="261" spans="1:13" x14ac:dyDescent="0.2">
      <c r="A261" s="66" t="s">
        <v>444</v>
      </c>
      <c r="B261" s="62" t="s">
        <v>240</v>
      </c>
      <c r="C261" s="68" t="s">
        <v>242</v>
      </c>
      <c r="D261" s="67" t="s">
        <v>242</v>
      </c>
      <c r="E261" s="68" t="s">
        <v>510</v>
      </c>
      <c r="F261" s="68">
        <v>620</v>
      </c>
      <c r="G261" s="131">
        <f>G262</f>
        <v>172.2</v>
      </c>
      <c r="H261" s="353">
        <f>H262</f>
        <v>172.2</v>
      </c>
      <c r="I261" s="64"/>
      <c r="J261" s="64"/>
      <c r="K261" s="64"/>
      <c r="L261" s="64"/>
      <c r="M261" s="154"/>
    </row>
    <row r="262" spans="1:13" ht="33.75" x14ac:dyDescent="0.2">
      <c r="A262" s="66" t="s">
        <v>445</v>
      </c>
      <c r="B262" s="62" t="s">
        <v>240</v>
      </c>
      <c r="C262" s="68" t="s">
        <v>242</v>
      </c>
      <c r="D262" s="67" t="s">
        <v>242</v>
      </c>
      <c r="E262" s="68" t="s">
        <v>510</v>
      </c>
      <c r="F262" s="68">
        <v>621</v>
      </c>
      <c r="G262" s="131">
        <v>172.2</v>
      </c>
      <c r="H262" s="353">
        <v>172.2</v>
      </c>
      <c r="I262" s="65"/>
      <c r="J262" s="65"/>
      <c r="K262" s="65"/>
      <c r="L262" s="65"/>
      <c r="M262" s="65"/>
    </row>
    <row r="263" spans="1:13" x14ac:dyDescent="0.2">
      <c r="A263" s="61" t="s">
        <v>261</v>
      </c>
      <c r="B263" s="94" t="s">
        <v>240</v>
      </c>
      <c r="C263" s="96" t="s">
        <v>242</v>
      </c>
      <c r="D263" s="94" t="s">
        <v>262</v>
      </c>
      <c r="E263" s="96" t="s">
        <v>183</v>
      </c>
      <c r="F263" s="96" t="s">
        <v>184</v>
      </c>
      <c r="G263" s="138">
        <f>G264</f>
        <v>8851.4052000000011</v>
      </c>
      <c r="H263" s="345">
        <f>H264</f>
        <v>11221.373400000002</v>
      </c>
      <c r="I263" s="65"/>
      <c r="J263" s="65"/>
      <c r="K263" s="65"/>
      <c r="L263" s="65"/>
      <c r="M263" s="65"/>
    </row>
    <row r="264" spans="1:13" ht="33.75" x14ac:dyDescent="0.2">
      <c r="A264" s="83" t="s">
        <v>263</v>
      </c>
      <c r="B264" s="67" t="s">
        <v>240</v>
      </c>
      <c r="C264" s="68" t="s">
        <v>242</v>
      </c>
      <c r="D264" s="67" t="s">
        <v>262</v>
      </c>
      <c r="E264" s="68" t="s">
        <v>264</v>
      </c>
      <c r="F264" s="68"/>
      <c r="G264" s="131">
        <f>G265+G287+G270</f>
        <v>8851.4052000000011</v>
      </c>
      <c r="H264" s="353">
        <f>H265+H287+H270</f>
        <v>11221.373400000002</v>
      </c>
      <c r="I264" s="65"/>
      <c r="J264" s="65"/>
      <c r="K264" s="65"/>
      <c r="L264" s="65"/>
      <c r="M264" s="65"/>
    </row>
    <row r="265" spans="1:13" ht="22.5" x14ac:dyDescent="0.2">
      <c r="A265" s="66" t="s">
        <v>265</v>
      </c>
      <c r="B265" s="67" t="s">
        <v>240</v>
      </c>
      <c r="C265" s="68" t="s">
        <v>242</v>
      </c>
      <c r="D265" s="67" t="s">
        <v>262</v>
      </c>
      <c r="E265" s="68" t="s">
        <v>266</v>
      </c>
      <c r="F265" s="68"/>
      <c r="G265" s="131">
        <f>G266</f>
        <v>856.76600000000008</v>
      </c>
      <c r="H265" s="353">
        <f>H266</f>
        <v>839.4770000000002</v>
      </c>
      <c r="I265" s="65"/>
      <c r="J265" s="65"/>
      <c r="K265" s="65"/>
      <c r="L265" s="65"/>
      <c r="M265" s="65"/>
    </row>
    <row r="266" spans="1:13" ht="33.75" x14ac:dyDescent="0.2">
      <c r="A266" s="83" t="s">
        <v>139</v>
      </c>
      <c r="B266" s="67" t="s">
        <v>240</v>
      </c>
      <c r="C266" s="68" t="s">
        <v>242</v>
      </c>
      <c r="D266" s="67" t="s">
        <v>262</v>
      </c>
      <c r="E266" s="68" t="s">
        <v>266</v>
      </c>
      <c r="F266" s="68">
        <v>100</v>
      </c>
      <c r="G266" s="131">
        <f>G267</f>
        <v>856.76600000000008</v>
      </c>
      <c r="H266" s="353">
        <f>H267</f>
        <v>839.4770000000002</v>
      </c>
      <c r="I266" s="65"/>
      <c r="J266" s="65"/>
      <c r="K266" s="65"/>
      <c r="L266" s="155"/>
      <c r="M266" s="65"/>
    </row>
    <row r="267" spans="1:13" x14ac:dyDescent="0.2">
      <c r="A267" s="83" t="s">
        <v>168</v>
      </c>
      <c r="B267" s="67" t="s">
        <v>240</v>
      </c>
      <c r="C267" s="68" t="s">
        <v>242</v>
      </c>
      <c r="D267" s="67" t="s">
        <v>262</v>
      </c>
      <c r="E267" s="68" t="s">
        <v>266</v>
      </c>
      <c r="F267" s="68">
        <v>120</v>
      </c>
      <c r="G267" s="131">
        <f>G268+G269</f>
        <v>856.76600000000008</v>
      </c>
      <c r="H267" s="353">
        <f>H268+H269</f>
        <v>839.4770000000002</v>
      </c>
      <c r="I267" s="65"/>
      <c r="J267" s="65"/>
      <c r="K267" s="65"/>
      <c r="L267" s="65"/>
      <c r="M267" s="65"/>
    </row>
    <row r="268" spans="1:13" x14ac:dyDescent="0.2">
      <c r="A268" s="114" t="s">
        <v>169</v>
      </c>
      <c r="B268" s="67" t="s">
        <v>240</v>
      </c>
      <c r="C268" s="68" t="s">
        <v>242</v>
      </c>
      <c r="D268" s="67" t="s">
        <v>262</v>
      </c>
      <c r="E268" s="68" t="s">
        <v>266</v>
      </c>
      <c r="F268" s="68">
        <v>121</v>
      </c>
      <c r="G268" s="131">
        <f>737.7*89.2%</f>
        <v>658.02840000000003</v>
      </c>
      <c r="H268" s="353">
        <f>737.7*87.4%</f>
        <v>644.74980000000016</v>
      </c>
      <c r="I268" s="65"/>
      <c r="J268" s="65"/>
      <c r="K268" s="65"/>
      <c r="L268" s="155"/>
      <c r="M268" s="65"/>
    </row>
    <row r="269" spans="1:13" ht="33.75" x14ac:dyDescent="0.2">
      <c r="A269" s="114" t="s">
        <v>170</v>
      </c>
      <c r="B269" s="67" t="s">
        <v>240</v>
      </c>
      <c r="C269" s="68" t="s">
        <v>242</v>
      </c>
      <c r="D269" s="67" t="s">
        <v>262</v>
      </c>
      <c r="E269" s="68" t="s">
        <v>266</v>
      </c>
      <c r="F269" s="68">
        <v>129</v>
      </c>
      <c r="G269" s="131">
        <f>222.8*89.2%</f>
        <v>198.73760000000001</v>
      </c>
      <c r="H269" s="353">
        <f>222.8*87.4%</f>
        <v>194.72720000000004</v>
      </c>
    </row>
    <row r="270" spans="1:13" x14ac:dyDescent="0.2">
      <c r="A270" s="66" t="s">
        <v>267</v>
      </c>
      <c r="B270" s="67" t="s">
        <v>240</v>
      </c>
      <c r="C270" s="68" t="s">
        <v>242</v>
      </c>
      <c r="D270" s="67" t="s">
        <v>262</v>
      </c>
      <c r="E270" s="68" t="s">
        <v>268</v>
      </c>
      <c r="F270" s="68" t="s">
        <v>184</v>
      </c>
      <c r="G270" s="131">
        <f>G271+G275+G278+G282</f>
        <v>7414.8392000000003</v>
      </c>
      <c r="H270" s="353">
        <f>H271+H275+H278+H282</f>
        <v>7265.2124000000013</v>
      </c>
    </row>
    <row r="271" spans="1:13" ht="33.75" x14ac:dyDescent="0.2">
      <c r="A271" s="83" t="s">
        <v>139</v>
      </c>
      <c r="B271" s="67" t="s">
        <v>240</v>
      </c>
      <c r="C271" s="68" t="s">
        <v>242</v>
      </c>
      <c r="D271" s="67" t="s">
        <v>262</v>
      </c>
      <c r="E271" s="68" t="s">
        <v>269</v>
      </c>
      <c r="F271" s="68" t="s">
        <v>140</v>
      </c>
      <c r="G271" s="131">
        <f>G272</f>
        <v>6746.1959999999999</v>
      </c>
      <c r="H271" s="353">
        <f>H272</f>
        <v>6610.0620000000017</v>
      </c>
    </row>
    <row r="272" spans="1:13" x14ac:dyDescent="0.2">
      <c r="A272" s="83" t="s">
        <v>141</v>
      </c>
      <c r="B272" s="67" t="s">
        <v>240</v>
      </c>
      <c r="C272" s="68" t="s">
        <v>242</v>
      </c>
      <c r="D272" s="67" t="s">
        <v>262</v>
      </c>
      <c r="E272" s="68" t="s">
        <v>269</v>
      </c>
      <c r="F272" s="68">
        <v>110</v>
      </c>
      <c r="G272" s="131">
        <f>G273+G274</f>
        <v>6746.1959999999999</v>
      </c>
      <c r="H272" s="353">
        <f>H273+H274</f>
        <v>6610.0620000000017</v>
      </c>
    </row>
    <row r="273" spans="1:9" x14ac:dyDescent="0.2">
      <c r="A273" s="83" t="s">
        <v>142</v>
      </c>
      <c r="B273" s="67" t="s">
        <v>240</v>
      </c>
      <c r="C273" s="68" t="s">
        <v>242</v>
      </c>
      <c r="D273" s="67" t="s">
        <v>262</v>
      </c>
      <c r="E273" s="68" t="s">
        <v>269</v>
      </c>
      <c r="F273" s="68">
        <v>111</v>
      </c>
      <c r="G273" s="131">
        <f>5808.8*89.2%</f>
        <v>5181.4495999999999</v>
      </c>
      <c r="H273" s="353">
        <f>5808.8*87.4%</f>
        <v>5076.8912000000009</v>
      </c>
    </row>
    <row r="274" spans="1:9" ht="22.5" x14ac:dyDescent="0.2">
      <c r="A274" s="114" t="s">
        <v>143</v>
      </c>
      <c r="B274" s="67" t="s">
        <v>240</v>
      </c>
      <c r="C274" s="68" t="s">
        <v>242</v>
      </c>
      <c r="D274" s="67" t="s">
        <v>262</v>
      </c>
      <c r="E274" s="68" t="s">
        <v>269</v>
      </c>
      <c r="F274" s="68">
        <v>119</v>
      </c>
      <c r="G274" s="131">
        <f>1754.2*89.2%</f>
        <v>1564.7464</v>
      </c>
      <c r="H274" s="353">
        <f>1754.2*87.4%</f>
        <v>1533.1708000000003</v>
      </c>
    </row>
    <row r="275" spans="1:9" ht="33.75" x14ac:dyDescent="0.2">
      <c r="A275" s="83" t="s">
        <v>139</v>
      </c>
      <c r="B275" s="67" t="s">
        <v>240</v>
      </c>
      <c r="C275" s="68" t="s">
        <v>242</v>
      </c>
      <c r="D275" s="67" t="s">
        <v>262</v>
      </c>
      <c r="E275" s="68" t="s">
        <v>270</v>
      </c>
      <c r="F275" s="68">
        <v>100</v>
      </c>
      <c r="G275" s="131">
        <f>G276</f>
        <v>17.84</v>
      </c>
      <c r="H275" s="353">
        <f>H276</f>
        <v>17.480000000000004</v>
      </c>
    </row>
    <row r="276" spans="1:9" x14ac:dyDescent="0.2">
      <c r="A276" s="83" t="s">
        <v>168</v>
      </c>
      <c r="B276" s="67" t="s">
        <v>240</v>
      </c>
      <c r="C276" s="68" t="s">
        <v>242</v>
      </c>
      <c r="D276" s="67" t="s">
        <v>262</v>
      </c>
      <c r="E276" s="68" t="s">
        <v>270</v>
      </c>
      <c r="F276" s="68">
        <v>120</v>
      </c>
      <c r="G276" s="131">
        <f>G277</f>
        <v>17.84</v>
      </c>
      <c r="H276" s="353">
        <f>H277</f>
        <v>17.480000000000004</v>
      </c>
    </row>
    <row r="277" spans="1:9" ht="22.5" x14ac:dyDescent="0.2">
      <c r="A277" s="69" t="s">
        <v>293</v>
      </c>
      <c r="B277" s="67" t="s">
        <v>240</v>
      </c>
      <c r="C277" s="68" t="s">
        <v>242</v>
      </c>
      <c r="D277" s="67" t="s">
        <v>262</v>
      </c>
      <c r="E277" s="68" t="s">
        <v>270</v>
      </c>
      <c r="F277" s="68">
        <v>122</v>
      </c>
      <c r="G277" s="131">
        <f>20*89.2%</f>
        <v>17.84</v>
      </c>
      <c r="H277" s="353">
        <f>20*87.4%</f>
        <v>17.480000000000004</v>
      </c>
    </row>
    <row r="278" spans="1:9" x14ac:dyDescent="0.2">
      <c r="A278" s="83" t="s">
        <v>650</v>
      </c>
      <c r="B278" s="67" t="s">
        <v>240</v>
      </c>
      <c r="C278" s="68" t="s">
        <v>242</v>
      </c>
      <c r="D278" s="67" t="s">
        <v>262</v>
      </c>
      <c r="E278" s="68" t="s">
        <v>270</v>
      </c>
      <c r="F278" s="68" t="s">
        <v>150</v>
      </c>
      <c r="G278" s="131">
        <f>G279</f>
        <v>622.25920000000008</v>
      </c>
      <c r="H278" s="353">
        <f>H279</f>
        <v>609.70240000000013</v>
      </c>
    </row>
    <row r="279" spans="1:9" ht="22.5" x14ac:dyDescent="0.2">
      <c r="A279" s="83" t="s">
        <v>151</v>
      </c>
      <c r="B279" s="67" t="s">
        <v>240</v>
      </c>
      <c r="C279" s="68" t="s">
        <v>242</v>
      </c>
      <c r="D279" s="67" t="s">
        <v>262</v>
      </c>
      <c r="E279" s="68" t="s">
        <v>270</v>
      </c>
      <c r="F279" s="68" t="s">
        <v>152</v>
      </c>
      <c r="G279" s="131">
        <f>G281+G280</f>
        <v>622.25920000000008</v>
      </c>
      <c r="H279" s="353">
        <f>H281+H280</f>
        <v>609.70240000000013</v>
      </c>
      <c r="I279" s="148"/>
    </row>
    <row r="280" spans="1:9" ht="22.5" x14ac:dyDescent="0.2">
      <c r="A280" s="115" t="s">
        <v>171</v>
      </c>
      <c r="B280" s="67" t="s">
        <v>240</v>
      </c>
      <c r="C280" s="68" t="s">
        <v>242</v>
      </c>
      <c r="D280" s="67" t="s">
        <v>262</v>
      </c>
      <c r="E280" s="68" t="s">
        <v>270</v>
      </c>
      <c r="F280" s="68">
        <v>242</v>
      </c>
      <c r="G280" s="131">
        <f>200*89.2%</f>
        <v>178.4</v>
      </c>
      <c r="H280" s="353">
        <f>200*87.4%</f>
        <v>174.8</v>
      </c>
    </row>
    <row r="281" spans="1:9" ht="22.5" x14ac:dyDescent="0.2">
      <c r="A281" s="115" t="s">
        <v>153</v>
      </c>
      <c r="B281" s="67" t="s">
        <v>240</v>
      </c>
      <c r="C281" s="68" t="s">
        <v>242</v>
      </c>
      <c r="D281" s="67" t="s">
        <v>262</v>
      </c>
      <c r="E281" s="68" t="s">
        <v>270</v>
      </c>
      <c r="F281" s="68" t="s">
        <v>154</v>
      </c>
      <c r="G281" s="131">
        <f>497.6*89.2%</f>
        <v>443.85920000000004</v>
      </c>
      <c r="H281" s="353">
        <f>497.6*87.4%</f>
        <v>434.90240000000006</v>
      </c>
    </row>
    <row r="282" spans="1:9" x14ac:dyDescent="0.2">
      <c r="A282" s="70" t="s">
        <v>172</v>
      </c>
      <c r="B282" s="67" t="s">
        <v>240</v>
      </c>
      <c r="C282" s="68" t="s">
        <v>242</v>
      </c>
      <c r="D282" s="67" t="s">
        <v>262</v>
      </c>
      <c r="E282" s="68" t="s">
        <v>270</v>
      </c>
      <c r="F282" s="68" t="s">
        <v>235</v>
      </c>
      <c r="G282" s="131">
        <f>G283</f>
        <v>28.544</v>
      </c>
      <c r="H282" s="353">
        <f>H283</f>
        <v>27.968000000000004</v>
      </c>
    </row>
    <row r="283" spans="1:9" x14ac:dyDescent="0.2">
      <c r="A283" s="70" t="s">
        <v>173</v>
      </c>
      <c r="B283" s="67" t="s">
        <v>240</v>
      </c>
      <c r="C283" s="68" t="s">
        <v>242</v>
      </c>
      <c r="D283" s="67" t="s">
        <v>262</v>
      </c>
      <c r="E283" s="68" t="s">
        <v>270</v>
      </c>
      <c r="F283" s="68" t="s">
        <v>174</v>
      </c>
      <c r="G283" s="131">
        <f>G284+G285+G286</f>
        <v>28.544</v>
      </c>
      <c r="H283" s="353">
        <f>H284+H285+H286</f>
        <v>27.968000000000004</v>
      </c>
    </row>
    <row r="284" spans="1:9" x14ac:dyDescent="0.2">
      <c r="A284" s="75" t="s">
        <v>175</v>
      </c>
      <c r="B284" s="67" t="s">
        <v>240</v>
      </c>
      <c r="C284" s="68" t="s">
        <v>242</v>
      </c>
      <c r="D284" s="67" t="s">
        <v>262</v>
      </c>
      <c r="E284" s="68" t="s">
        <v>270</v>
      </c>
      <c r="F284" s="68" t="s">
        <v>176</v>
      </c>
      <c r="G284" s="131">
        <f>5.2*89.2%</f>
        <v>4.6383999999999999</v>
      </c>
      <c r="H284" s="353">
        <f>5.2*87.4%</f>
        <v>4.5448000000000004</v>
      </c>
    </row>
    <row r="285" spans="1:9" x14ac:dyDescent="0.2">
      <c r="A285" s="70" t="s">
        <v>236</v>
      </c>
      <c r="B285" s="67" t="s">
        <v>240</v>
      </c>
      <c r="C285" s="68" t="s">
        <v>242</v>
      </c>
      <c r="D285" s="67" t="s">
        <v>262</v>
      </c>
      <c r="E285" s="68" t="s">
        <v>270</v>
      </c>
      <c r="F285" s="68">
        <v>852</v>
      </c>
      <c r="G285" s="131">
        <f>3*89.2%</f>
        <v>2.6760000000000002</v>
      </c>
      <c r="H285" s="353">
        <f>3*87.4%</f>
        <v>2.6220000000000003</v>
      </c>
    </row>
    <row r="286" spans="1:9" x14ac:dyDescent="0.2">
      <c r="A286" s="70" t="s">
        <v>564</v>
      </c>
      <c r="B286" s="67" t="s">
        <v>240</v>
      </c>
      <c r="C286" s="68" t="s">
        <v>242</v>
      </c>
      <c r="D286" s="67" t="s">
        <v>262</v>
      </c>
      <c r="E286" s="68" t="s">
        <v>270</v>
      </c>
      <c r="F286" s="68">
        <v>853</v>
      </c>
      <c r="G286" s="131">
        <f>23.8*89.2%</f>
        <v>21.229600000000001</v>
      </c>
      <c r="H286" s="353">
        <f>23.8*87.4%</f>
        <v>20.801200000000001</v>
      </c>
    </row>
    <row r="287" spans="1:9" ht="22.5" x14ac:dyDescent="0.2">
      <c r="A287" s="66" t="s">
        <v>271</v>
      </c>
      <c r="B287" s="67" t="s">
        <v>240</v>
      </c>
      <c r="C287" s="68" t="s">
        <v>242</v>
      </c>
      <c r="D287" s="67" t="s">
        <v>262</v>
      </c>
      <c r="E287" s="68" t="s">
        <v>272</v>
      </c>
      <c r="F287" s="68"/>
      <c r="G287" s="131">
        <f>G288+G291</f>
        <v>579.79999999999995</v>
      </c>
      <c r="H287" s="353">
        <f>H288+H291</f>
        <v>3116.6840000000007</v>
      </c>
    </row>
    <row r="288" spans="1:9" x14ac:dyDescent="0.2">
      <c r="A288" s="83" t="s">
        <v>650</v>
      </c>
      <c r="B288" s="67" t="s">
        <v>240</v>
      </c>
      <c r="C288" s="68" t="s">
        <v>242</v>
      </c>
      <c r="D288" s="67" t="s">
        <v>262</v>
      </c>
      <c r="E288" s="68" t="s">
        <v>272</v>
      </c>
      <c r="F288" s="68">
        <v>200</v>
      </c>
      <c r="G288" s="131">
        <f>G289</f>
        <v>288.11599999999999</v>
      </c>
      <c r="H288" s="353">
        <f>H289</f>
        <v>2830.8860000000004</v>
      </c>
    </row>
    <row r="289" spans="1:13" ht="22.5" x14ac:dyDescent="0.2">
      <c r="A289" s="83" t="s">
        <v>151</v>
      </c>
      <c r="B289" s="67" t="s">
        <v>240</v>
      </c>
      <c r="C289" s="68" t="s">
        <v>242</v>
      </c>
      <c r="D289" s="67" t="s">
        <v>262</v>
      </c>
      <c r="E289" s="68" t="s">
        <v>272</v>
      </c>
      <c r="F289" s="68">
        <v>240</v>
      </c>
      <c r="G289" s="131">
        <f>G290</f>
        <v>288.11599999999999</v>
      </c>
      <c r="H289" s="353">
        <f>H290</f>
        <v>2830.8860000000004</v>
      </c>
    </row>
    <row r="290" spans="1:13" ht="22.5" x14ac:dyDescent="0.2">
      <c r="A290" s="115" t="s">
        <v>153</v>
      </c>
      <c r="B290" s="67" t="s">
        <v>240</v>
      </c>
      <c r="C290" s="68" t="s">
        <v>242</v>
      </c>
      <c r="D290" s="67" t="s">
        <v>262</v>
      </c>
      <c r="E290" s="68" t="s">
        <v>272</v>
      </c>
      <c r="F290" s="68">
        <v>244</v>
      </c>
      <c r="G290" s="131">
        <f>323*89.2%</f>
        <v>288.11599999999999</v>
      </c>
      <c r="H290" s="353">
        <f>3239*87.4%</f>
        <v>2830.8860000000004</v>
      </c>
    </row>
    <row r="291" spans="1:13" x14ac:dyDescent="0.2">
      <c r="A291" s="75" t="s">
        <v>197</v>
      </c>
      <c r="B291" s="67" t="s">
        <v>240</v>
      </c>
      <c r="C291" s="68" t="s">
        <v>242</v>
      </c>
      <c r="D291" s="67" t="s">
        <v>262</v>
      </c>
      <c r="E291" s="68" t="s">
        <v>272</v>
      </c>
      <c r="F291" s="68">
        <v>300</v>
      </c>
      <c r="G291" s="131">
        <f>G292</f>
        <v>291.68400000000003</v>
      </c>
      <c r="H291" s="353">
        <f>H292</f>
        <v>285.79800000000006</v>
      </c>
    </row>
    <row r="292" spans="1:13" x14ac:dyDescent="0.2">
      <c r="A292" s="66" t="s">
        <v>274</v>
      </c>
      <c r="B292" s="67" t="s">
        <v>240</v>
      </c>
      <c r="C292" s="68" t="s">
        <v>242</v>
      </c>
      <c r="D292" s="67" t="s">
        <v>262</v>
      </c>
      <c r="E292" s="68" t="s">
        <v>272</v>
      </c>
      <c r="F292" s="68">
        <v>350</v>
      </c>
      <c r="G292" s="131">
        <f>327*89.2%</f>
        <v>291.68400000000003</v>
      </c>
      <c r="H292" s="353">
        <f>327*87.4%</f>
        <v>285.79800000000006</v>
      </c>
    </row>
    <row r="293" spans="1:13" x14ac:dyDescent="0.2">
      <c r="A293" s="61" t="s">
        <v>275</v>
      </c>
      <c r="B293" s="94" t="s">
        <v>240</v>
      </c>
      <c r="C293" s="96">
        <v>10</v>
      </c>
      <c r="D293" s="94" t="s">
        <v>160</v>
      </c>
      <c r="E293" s="96"/>
      <c r="F293" s="96"/>
      <c r="G293" s="219">
        <f t="shared" ref="G293:H299" si="13">G294</f>
        <v>3219.9</v>
      </c>
      <c r="H293" s="358">
        <f t="shared" si="13"/>
        <v>3240.6</v>
      </c>
      <c r="I293" s="148"/>
    </row>
    <row r="294" spans="1:13" ht="22.5" x14ac:dyDescent="0.2">
      <c r="A294" s="66" t="s">
        <v>276</v>
      </c>
      <c r="B294" s="67" t="s">
        <v>240</v>
      </c>
      <c r="C294" s="68">
        <v>10</v>
      </c>
      <c r="D294" s="67" t="s">
        <v>160</v>
      </c>
      <c r="E294" s="68" t="s">
        <v>245</v>
      </c>
      <c r="F294" s="68"/>
      <c r="G294" s="140">
        <f t="shared" si="13"/>
        <v>3219.9</v>
      </c>
      <c r="H294" s="359">
        <f t="shared" si="13"/>
        <v>3240.6</v>
      </c>
    </row>
    <row r="295" spans="1:13" x14ac:dyDescent="0.2">
      <c r="A295" s="66" t="s">
        <v>246</v>
      </c>
      <c r="B295" s="67" t="s">
        <v>240</v>
      </c>
      <c r="C295" s="68">
        <v>10</v>
      </c>
      <c r="D295" s="67" t="s">
        <v>277</v>
      </c>
      <c r="E295" s="84" t="s">
        <v>247</v>
      </c>
      <c r="F295" s="68"/>
      <c r="G295" s="140">
        <f t="shared" si="13"/>
        <v>3219.9</v>
      </c>
      <c r="H295" s="359">
        <f t="shared" si="13"/>
        <v>3240.6</v>
      </c>
    </row>
    <row r="296" spans="1:13" ht="45" x14ac:dyDescent="0.2">
      <c r="A296" s="66" t="s">
        <v>278</v>
      </c>
      <c r="B296" s="67" t="s">
        <v>240</v>
      </c>
      <c r="C296" s="68" t="s">
        <v>186</v>
      </c>
      <c r="D296" s="67" t="s">
        <v>160</v>
      </c>
      <c r="E296" s="68" t="s">
        <v>279</v>
      </c>
      <c r="F296" s="68" t="s">
        <v>184</v>
      </c>
      <c r="G296" s="131">
        <f>G298</f>
        <v>3219.9</v>
      </c>
      <c r="H296" s="353">
        <f>H298</f>
        <v>3240.6</v>
      </c>
    </row>
    <row r="297" spans="1:13" ht="45" x14ac:dyDescent="0.2">
      <c r="A297" s="304" t="s">
        <v>280</v>
      </c>
      <c r="B297" s="305" t="s">
        <v>240</v>
      </c>
      <c r="C297" s="306" t="s">
        <v>186</v>
      </c>
      <c r="D297" s="305" t="s">
        <v>160</v>
      </c>
      <c r="E297" s="306" t="s">
        <v>281</v>
      </c>
      <c r="F297" s="306"/>
      <c r="G297" s="307">
        <f>G298</f>
        <v>3219.9</v>
      </c>
      <c r="H297" s="354">
        <f>H298</f>
        <v>3240.6</v>
      </c>
    </row>
    <row r="298" spans="1:13" x14ac:dyDescent="0.2">
      <c r="A298" s="75" t="s">
        <v>197</v>
      </c>
      <c r="B298" s="67" t="s">
        <v>240</v>
      </c>
      <c r="C298" s="68" t="s">
        <v>186</v>
      </c>
      <c r="D298" s="67" t="s">
        <v>160</v>
      </c>
      <c r="E298" s="68" t="s">
        <v>281</v>
      </c>
      <c r="F298" s="73" t="s">
        <v>198</v>
      </c>
      <c r="G298" s="139">
        <f t="shared" si="13"/>
        <v>3219.9</v>
      </c>
      <c r="H298" s="351">
        <f t="shared" si="13"/>
        <v>3240.6</v>
      </c>
    </row>
    <row r="299" spans="1:13" x14ac:dyDescent="0.2">
      <c r="A299" s="75" t="s">
        <v>199</v>
      </c>
      <c r="B299" s="67" t="s">
        <v>240</v>
      </c>
      <c r="C299" s="68" t="s">
        <v>186</v>
      </c>
      <c r="D299" s="67" t="s">
        <v>160</v>
      </c>
      <c r="E299" s="68" t="s">
        <v>281</v>
      </c>
      <c r="F299" s="78">
        <v>310</v>
      </c>
      <c r="G299" s="139">
        <f t="shared" si="13"/>
        <v>3219.9</v>
      </c>
      <c r="H299" s="351">
        <f t="shared" si="13"/>
        <v>3240.6</v>
      </c>
    </row>
    <row r="300" spans="1:13" ht="22.5" x14ac:dyDescent="0.2">
      <c r="A300" s="70" t="s">
        <v>200</v>
      </c>
      <c r="B300" s="67" t="s">
        <v>240</v>
      </c>
      <c r="C300" s="68" t="s">
        <v>186</v>
      </c>
      <c r="D300" s="67" t="s">
        <v>160</v>
      </c>
      <c r="E300" s="68" t="s">
        <v>281</v>
      </c>
      <c r="F300" s="78">
        <v>313</v>
      </c>
      <c r="G300" s="139">
        <v>3219.9</v>
      </c>
      <c r="H300" s="351">
        <v>3240.6</v>
      </c>
    </row>
    <row r="301" spans="1:13" ht="21" x14ac:dyDescent="0.2">
      <c r="A301" s="179" t="s">
        <v>282</v>
      </c>
      <c r="B301" s="110" t="s">
        <v>283</v>
      </c>
      <c r="C301" s="109" t="s">
        <v>182</v>
      </c>
      <c r="D301" s="110" t="s">
        <v>182</v>
      </c>
      <c r="E301" s="109" t="s">
        <v>183</v>
      </c>
      <c r="F301" s="109" t="s">
        <v>184</v>
      </c>
      <c r="G301" s="180">
        <f>G302</f>
        <v>2649.098</v>
      </c>
      <c r="H301" s="360">
        <f>H302</f>
        <v>2595.7016000000003</v>
      </c>
      <c r="I301" s="232"/>
    </row>
    <row r="302" spans="1:13" x14ac:dyDescent="0.2">
      <c r="A302" s="98" t="s">
        <v>284</v>
      </c>
      <c r="B302" s="99" t="s">
        <v>283</v>
      </c>
      <c r="C302" s="97" t="s">
        <v>160</v>
      </c>
      <c r="D302" s="99" t="s">
        <v>182</v>
      </c>
      <c r="E302" s="97" t="s">
        <v>183</v>
      </c>
      <c r="F302" s="97" t="s">
        <v>184</v>
      </c>
      <c r="G302" s="133">
        <f>G303+G321</f>
        <v>2649.098</v>
      </c>
      <c r="H302" s="347">
        <f>H303+H321</f>
        <v>2595.7016000000003</v>
      </c>
      <c r="I302" s="220"/>
      <c r="J302" s="220"/>
    </row>
    <row r="303" spans="1:13" x14ac:dyDescent="0.2">
      <c r="A303" s="98" t="s">
        <v>285</v>
      </c>
      <c r="B303" s="99" t="s">
        <v>283</v>
      </c>
      <c r="C303" s="97" t="s">
        <v>160</v>
      </c>
      <c r="D303" s="99" t="s">
        <v>286</v>
      </c>
      <c r="E303" s="97" t="s">
        <v>183</v>
      </c>
      <c r="F303" s="97" t="s">
        <v>184</v>
      </c>
      <c r="G303" s="133">
        <f t="shared" ref="G303:H305" si="14">G304</f>
        <v>2045.3680000000002</v>
      </c>
      <c r="H303" s="347">
        <f t="shared" si="14"/>
        <v>1983.9016000000004</v>
      </c>
    </row>
    <row r="304" spans="1:13" s="79" customFormat="1" ht="33.75" x14ac:dyDescent="0.2">
      <c r="A304" s="83" t="s">
        <v>287</v>
      </c>
      <c r="B304" s="87" t="s">
        <v>283</v>
      </c>
      <c r="C304" s="84" t="s">
        <v>160</v>
      </c>
      <c r="D304" s="87" t="s">
        <v>286</v>
      </c>
      <c r="E304" s="84" t="s">
        <v>288</v>
      </c>
      <c r="F304" s="84"/>
      <c r="G304" s="135">
        <f t="shared" si="14"/>
        <v>2045.3680000000002</v>
      </c>
      <c r="H304" s="349">
        <f t="shared" si="14"/>
        <v>1983.9016000000004</v>
      </c>
      <c r="I304" s="151"/>
      <c r="J304" s="151"/>
      <c r="K304" s="151"/>
      <c r="L304" s="151"/>
      <c r="M304" s="151"/>
    </row>
    <row r="305" spans="1:13" s="79" customFormat="1" ht="11.25" x14ac:dyDescent="0.2">
      <c r="A305" s="83" t="s">
        <v>226</v>
      </c>
      <c r="B305" s="87" t="s">
        <v>283</v>
      </c>
      <c r="C305" s="84" t="s">
        <v>160</v>
      </c>
      <c r="D305" s="87" t="s">
        <v>286</v>
      </c>
      <c r="E305" s="84" t="s">
        <v>289</v>
      </c>
      <c r="F305" s="84" t="s">
        <v>184</v>
      </c>
      <c r="G305" s="135">
        <f t="shared" si="14"/>
        <v>2045.3680000000002</v>
      </c>
      <c r="H305" s="349">
        <f t="shared" si="14"/>
        <v>1983.9016000000004</v>
      </c>
      <c r="I305" s="151"/>
      <c r="J305" s="151"/>
      <c r="K305" s="151"/>
      <c r="L305" s="151"/>
      <c r="M305" s="151"/>
    </row>
    <row r="306" spans="1:13" s="79" customFormat="1" ht="22.5" x14ac:dyDescent="0.2">
      <c r="A306" s="83" t="s">
        <v>290</v>
      </c>
      <c r="B306" s="87" t="s">
        <v>283</v>
      </c>
      <c r="C306" s="84" t="s">
        <v>160</v>
      </c>
      <c r="D306" s="87" t="s">
        <v>286</v>
      </c>
      <c r="E306" s="84" t="s">
        <v>291</v>
      </c>
      <c r="F306" s="84" t="s">
        <v>184</v>
      </c>
      <c r="G306" s="135">
        <f>G307+G311+G314+G318</f>
        <v>2045.3680000000002</v>
      </c>
      <c r="H306" s="349">
        <f>H307+H311+H314+H318</f>
        <v>1983.9016000000004</v>
      </c>
      <c r="I306" s="151"/>
      <c r="J306" s="151"/>
      <c r="K306" s="151"/>
      <c r="L306" s="151"/>
      <c r="M306" s="151"/>
    </row>
    <row r="307" spans="1:13" ht="33.75" x14ac:dyDescent="0.2">
      <c r="A307" s="83" t="s">
        <v>139</v>
      </c>
      <c r="B307" s="87" t="s">
        <v>283</v>
      </c>
      <c r="C307" s="84" t="s">
        <v>160</v>
      </c>
      <c r="D307" s="87" t="s">
        <v>286</v>
      </c>
      <c r="E307" s="84" t="s">
        <v>292</v>
      </c>
      <c r="F307" s="84" t="s">
        <v>140</v>
      </c>
      <c r="G307" s="135">
        <f>G308</f>
        <v>1737.17</v>
      </c>
      <c r="H307" s="349">
        <f>H308</f>
        <v>1702.1150000000002</v>
      </c>
      <c r="I307" s="156"/>
    </row>
    <row r="308" spans="1:13" x14ac:dyDescent="0.2">
      <c r="A308" s="83" t="s">
        <v>168</v>
      </c>
      <c r="B308" s="87" t="s">
        <v>283</v>
      </c>
      <c r="C308" s="84" t="s">
        <v>160</v>
      </c>
      <c r="D308" s="87" t="s">
        <v>286</v>
      </c>
      <c r="E308" s="84" t="s">
        <v>292</v>
      </c>
      <c r="F308" s="84" t="s">
        <v>232</v>
      </c>
      <c r="G308" s="135">
        <f>G309+G310</f>
        <v>1737.17</v>
      </c>
      <c r="H308" s="349">
        <f>H309+H310</f>
        <v>1702.1150000000002</v>
      </c>
    </row>
    <row r="309" spans="1:13" x14ac:dyDescent="0.2">
      <c r="A309" s="114" t="s">
        <v>169</v>
      </c>
      <c r="B309" s="87" t="s">
        <v>283</v>
      </c>
      <c r="C309" s="84" t="s">
        <v>160</v>
      </c>
      <c r="D309" s="87" t="s">
        <v>286</v>
      </c>
      <c r="E309" s="84" t="s">
        <v>292</v>
      </c>
      <c r="F309" s="84">
        <v>121</v>
      </c>
      <c r="G309" s="135">
        <f>1495.8*89.2%</f>
        <v>1334.2536</v>
      </c>
      <c r="H309" s="349">
        <f>1495.8*87.4%</f>
        <v>1307.3292000000001</v>
      </c>
    </row>
    <row r="310" spans="1:13" ht="33.75" x14ac:dyDescent="0.2">
      <c r="A310" s="114" t="s">
        <v>170</v>
      </c>
      <c r="B310" s="87" t="s">
        <v>283</v>
      </c>
      <c r="C310" s="84" t="s">
        <v>160</v>
      </c>
      <c r="D310" s="87" t="s">
        <v>286</v>
      </c>
      <c r="E310" s="84" t="s">
        <v>292</v>
      </c>
      <c r="F310" s="84">
        <v>129</v>
      </c>
      <c r="G310" s="135">
        <f>451.7*89.2%</f>
        <v>402.91640000000001</v>
      </c>
      <c r="H310" s="349">
        <f>451.7*87.4%</f>
        <v>394.78580000000005</v>
      </c>
    </row>
    <row r="311" spans="1:13" ht="33.75" x14ac:dyDescent="0.2">
      <c r="A311" s="83" t="s">
        <v>139</v>
      </c>
      <c r="B311" s="87" t="s">
        <v>283</v>
      </c>
      <c r="C311" s="84" t="s">
        <v>160</v>
      </c>
      <c r="D311" s="87" t="s">
        <v>286</v>
      </c>
      <c r="E311" s="84" t="s">
        <v>294</v>
      </c>
      <c r="F311" s="84">
        <v>100</v>
      </c>
      <c r="G311" s="135">
        <f>G312</f>
        <v>190.9</v>
      </c>
      <c r="H311" s="349">
        <f>H312</f>
        <v>166.84660000000002</v>
      </c>
    </row>
    <row r="312" spans="1:13" x14ac:dyDescent="0.2">
      <c r="A312" s="83" t="s">
        <v>168</v>
      </c>
      <c r="B312" s="87" t="s">
        <v>283</v>
      </c>
      <c r="C312" s="84" t="s">
        <v>160</v>
      </c>
      <c r="D312" s="87" t="s">
        <v>286</v>
      </c>
      <c r="E312" s="84" t="s">
        <v>294</v>
      </c>
      <c r="F312" s="84">
        <v>120</v>
      </c>
      <c r="G312" s="135">
        <f>G313</f>
        <v>190.9</v>
      </c>
      <c r="H312" s="349">
        <f>H313</f>
        <v>166.84660000000002</v>
      </c>
    </row>
    <row r="313" spans="1:13" ht="22.5" x14ac:dyDescent="0.2">
      <c r="A313" s="69" t="s">
        <v>293</v>
      </c>
      <c r="B313" s="87" t="s">
        <v>283</v>
      </c>
      <c r="C313" s="84" t="s">
        <v>160</v>
      </c>
      <c r="D313" s="87" t="s">
        <v>286</v>
      </c>
      <c r="E313" s="84" t="s">
        <v>294</v>
      </c>
      <c r="F313" s="84">
        <v>122</v>
      </c>
      <c r="G313" s="135">
        <v>190.9</v>
      </c>
      <c r="H313" s="349">
        <f>190.9*87.4%</f>
        <v>166.84660000000002</v>
      </c>
    </row>
    <row r="314" spans="1:13" x14ac:dyDescent="0.2">
      <c r="A314" s="83" t="s">
        <v>650</v>
      </c>
      <c r="B314" s="87" t="s">
        <v>283</v>
      </c>
      <c r="C314" s="84" t="s">
        <v>160</v>
      </c>
      <c r="D314" s="87" t="s">
        <v>286</v>
      </c>
      <c r="E314" s="84" t="s">
        <v>294</v>
      </c>
      <c r="F314" s="84" t="s">
        <v>150</v>
      </c>
      <c r="G314" s="135">
        <f>G315</f>
        <v>115.96000000000001</v>
      </c>
      <c r="H314" s="349">
        <f>H315</f>
        <v>113.62</v>
      </c>
    </row>
    <row r="315" spans="1:13" ht="22.5" x14ac:dyDescent="0.2">
      <c r="A315" s="83" t="s">
        <v>151</v>
      </c>
      <c r="B315" s="87" t="s">
        <v>283</v>
      </c>
      <c r="C315" s="84" t="s">
        <v>160</v>
      </c>
      <c r="D315" s="87" t="s">
        <v>286</v>
      </c>
      <c r="E315" s="84" t="s">
        <v>294</v>
      </c>
      <c r="F315" s="84" t="s">
        <v>152</v>
      </c>
      <c r="G315" s="135">
        <f>G317+G316</f>
        <v>115.96000000000001</v>
      </c>
      <c r="H315" s="349">
        <f>H317+H316</f>
        <v>113.62</v>
      </c>
    </row>
    <row r="316" spans="1:13" ht="22.5" x14ac:dyDescent="0.2">
      <c r="A316" s="115" t="s">
        <v>171</v>
      </c>
      <c r="B316" s="87" t="s">
        <v>283</v>
      </c>
      <c r="C316" s="84" t="s">
        <v>160</v>
      </c>
      <c r="D316" s="87" t="s">
        <v>286</v>
      </c>
      <c r="E316" s="84" t="s">
        <v>294</v>
      </c>
      <c r="F316" s="84">
        <v>242</v>
      </c>
      <c r="G316" s="135">
        <f>40.2*89.2%</f>
        <v>35.858400000000003</v>
      </c>
      <c r="H316" s="349">
        <f>40.2*87.4%</f>
        <v>35.134800000000006</v>
      </c>
    </row>
    <row r="317" spans="1:13" ht="22.5" x14ac:dyDescent="0.2">
      <c r="A317" s="115" t="s">
        <v>153</v>
      </c>
      <c r="B317" s="87" t="s">
        <v>283</v>
      </c>
      <c r="C317" s="84" t="s">
        <v>160</v>
      </c>
      <c r="D317" s="87" t="s">
        <v>286</v>
      </c>
      <c r="E317" s="84" t="s">
        <v>294</v>
      </c>
      <c r="F317" s="84" t="s">
        <v>154</v>
      </c>
      <c r="G317" s="135">
        <f>89.8*89.2%</f>
        <v>80.101600000000005</v>
      </c>
      <c r="H317" s="349">
        <f>89.8*87.4%</f>
        <v>78.485200000000006</v>
      </c>
    </row>
    <row r="318" spans="1:13" x14ac:dyDescent="0.2">
      <c r="A318" s="115" t="s">
        <v>172</v>
      </c>
      <c r="B318" s="87" t="s">
        <v>283</v>
      </c>
      <c r="C318" s="84" t="s">
        <v>160</v>
      </c>
      <c r="D318" s="87" t="s">
        <v>286</v>
      </c>
      <c r="E318" s="84" t="s">
        <v>294</v>
      </c>
      <c r="F318" s="84" t="s">
        <v>235</v>
      </c>
      <c r="G318" s="135">
        <f>G319</f>
        <v>1.3380000000000001</v>
      </c>
      <c r="H318" s="349">
        <f>H319</f>
        <v>1.32</v>
      </c>
    </row>
    <row r="319" spans="1:13" x14ac:dyDescent="0.2">
      <c r="A319" s="115" t="s">
        <v>173</v>
      </c>
      <c r="B319" s="87" t="s">
        <v>283</v>
      </c>
      <c r="C319" s="84" t="s">
        <v>160</v>
      </c>
      <c r="D319" s="87" t="s">
        <v>286</v>
      </c>
      <c r="E319" s="84" t="s">
        <v>294</v>
      </c>
      <c r="F319" s="84" t="s">
        <v>174</v>
      </c>
      <c r="G319" s="135">
        <f>G320</f>
        <v>1.3380000000000001</v>
      </c>
      <c r="H319" s="349">
        <f>H320</f>
        <v>1.32</v>
      </c>
    </row>
    <row r="320" spans="1:13" x14ac:dyDescent="0.2">
      <c r="A320" s="70" t="s">
        <v>236</v>
      </c>
      <c r="B320" s="87" t="s">
        <v>283</v>
      </c>
      <c r="C320" s="84" t="s">
        <v>160</v>
      </c>
      <c r="D320" s="87" t="s">
        <v>286</v>
      </c>
      <c r="E320" s="84" t="s">
        <v>294</v>
      </c>
      <c r="F320" s="84" t="s">
        <v>258</v>
      </c>
      <c r="G320" s="135">
        <f>1.5*89.2%</f>
        <v>1.3380000000000001</v>
      </c>
      <c r="H320" s="349">
        <v>1.32</v>
      </c>
    </row>
    <row r="321" spans="1:9" x14ac:dyDescent="0.2">
      <c r="A321" s="98" t="s">
        <v>296</v>
      </c>
      <c r="B321" s="99" t="s">
        <v>283</v>
      </c>
      <c r="C321" s="99" t="s">
        <v>160</v>
      </c>
      <c r="D321" s="99" t="s">
        <v>297</v>
      </c>
      <c r="E321" s="97"/>
      <c r="F321" s="97"/>
      <c r="G321" s="142">
        <f>G322</f>
        <v>603.73</v>
      </c>
      <c r="H321" s="361">
        <f>H322</f>
        <v>611.80000000000007</v>
      </c>
    </row>
    <row r="322" spans="1:9" ht="31.5" x14ac:dyDescent="0.2">
      <c r="A322" s="98" t="s">
        <v>298</v>
      </c>
      <c r="B322" s="99" t="s">
        <v>283</v>
      </c>
      <c r="C322" s="99" t="s">
        <v>160</v>
      </c>
      <c r="D322" s="99" t="s">
        <v>297</v>
      </c>
      <c r="E322" s="97" t="s">
        <v>288</v>
      </c>
      <c r="F322" s="97" t="s">
        <v>184</v>
      </c>
      <c r="G322" s="142">
        <f>G323+G348+G345</f>
        <v>603.73</v>
      </c>
      <c r="H322" s="361">
        <f>H323+H348+H345</f>
        <v>611.80000000000007</v>
      </c>
    </row>
    <row r="323" spans="1:9" x14ac:dyDescent="0.2">
      <c r="A323" s="83" t="s">
        <v>299</v>
      </c>
      <c r="B323" s="87" t="s">
        <v>283</v>
      </c>
      <c r="C323" s="87" t="s">
        <v>160</v>
      </c>
      <c r="D323" s="87" t="s">
        <v>297</v>
      </c>
      <c r="E323" s="84" t="s">
        <v>300</v>
      </c>
      <c r="F323" s="84"/>
      <c r="G323" s="141">
        <f>G324+G328+G332+G336+G340</f>
        <v>371.81</v>
      </c>
      <c r="H323" s="362">
        <f>H324+H328+H332+H336+H340</f>
        <v>384.56000000000006</v>
      </c>
    </row>
    <row r="324" spans="1:9" ht="22.5" x14ac:dyDescent="0.2">
      <c r="A324" s="83" t="s">
        <v>301</v>
      </c>
      <c r="B324" s="87" t="s">
        <v>283</v>
      </c>
      <c r="C324" s="87" t="s">
        <v>160</v>
      </c>
      <c r="D324" s="87" t="s">
        <v>297</v>
      </c>
      <c r="E324" s="84" t="s">
        <v>302</v>
      </c>
      <c r="F324" s="84"/>
      <c r="G324" s="141">
        <f t="shared" ref="G324:H326" si="15">G325</f>
        <v>50.69</v>
      </c>
      <c r="H324" s="362">
        <f t="shared" si="15"/>
        <v>69.920000000000016</v>
      </c>
    </row>
    <row r="325" spans="1:9" x14ac:dyDescent="0.2">
      <c r="A325" s="83" t="s">
        <v>650</v>
      </c>
      <c r="B325" s="87" t="s">
        <v>283</v>
      </c>
      <c r="C325" s="87" t="s">
        <v>160</v>
      </c>
      <c r="D325" s="87" t="s">
        <v>297</v>
      </c>
      <c r="E325" s="84" t="s">
        <v>302</v>
      </c>
      <c r="F325" s="84" t="s">
        <v>150</v>
      </c>
      <c r="G325" s="141">
        <f t="shared" si="15"/>
        <v>50.69</v>
      </c>
      <c r="H325" s="362">
        <f t="shared" si="15"/>
        <v>69.920000000000016</v>
      </c>
    </row>
    <row r="326" spans="1:9" ht="22.5" x14ac:dyDescent="0.2">
      <c r="A326" s="83" t="s">
        <v>151</v>
      </c>
      <c r="B326" s="87" t="s">
        <v>283</v>
      </c>
      <c r="C326" s="87" t="s">
        <v>160</v>
      </c>
      <c r="D326" s="87" t="s">
        <v>297</v>
      </c>
      <c r="E326" s="84" t="s">
        <v>302</v>
      </c>
      <c r="F326" s="84" t="s">
        <v>152</v>
      </c>
      <c r="G326" s="141">
        <f t="shared" si="15"/>
        <v>50.69</v>
      </c>
      <c r="H326" s="362">
        <f t="shared" si="15"/>
        <v>69.920000000000016</v>
      </c>
    </row>
    <row r="327" spans="1:9" ht="22.5" x14ac:dyDescent="0.2">
      <c r="A327" s="115" t="s">
        <v>153</v>
      </c>
      <c r="B327" s="87" t="s">
        <v>283</v>
      </c>
      <c r="C327" s="87" t="s">
        <v>160</v>
      </c>
      <c r="D327" s="87" t="s">
        <v>297</v>
      </c>
      <c r="E327" s="84" t="s">
        <v>302</v>
      </c>
      <c r="F327" s="84" t="s">
        <v>154</v>
      </c>
      <c r="G327" s="141">
        <v>50.69</v>
      </c>
      <c r="H327" s="362">
        <f>80*87.4%</f>
        <v>69.920000000000016</v>
      </c>
      <c r="I327" s="156"/>
    </row>
    <row r="328" spans="1:9" ht="33.75" x14ac:dyDescent="0.2">
      <c r="A328" s="83" t="s">
        <v>303</v>
      </c>
      <c r="B328" s="87" t="s">
        <v>283</v>
      </c>
      <c r="C328" s="87" t="s">
        <v>160</v>
      </c>
      <c r="D328" s="87" t="s">
        <v>297</v>
      </c>
      <c r="E328" s="84" t="s">
        <v>304</v>
      </c>
      <c r="F328" s="84"/>
      <c r="G328" s="141">
        <f t="shared" ref="G328:H330" si="16">G329</f>
        <v>26.76</v>
      </c>
      <c r="H328" s="362">
        <f t="shared" si="16"/>
        <v>26.220000000000002</v>
      </c>
    </row>
    <row r="329" spans="1:9" x14ac:dyDescent="0.2">
      <c r="A329" s="83" t="s">
        <v>650</v>
      </c>
      <c r="B329" s="87" t="s">
        <v>283</v>
      </c>
      <c r="C329" s="87" t="s">
        <v>160</v>
      </c>
      <c r="D329" s="87" t="s">
        <v>297</v>
      </c>
      <c r="E329" s="84" t="s">
        <v>304</v>
      </c>
      <c r="F329" s="84" t="s">
        <v>150</v>
      </c>
      <c r="G329" s="141">
        <f t="shared" si="16"/>
        <v>26.76</v>
      </c>
      <c r="H329" s="362">
        <f t="shared" si="16"/>
        <v>26.220000000000002</v>
      </c>
    </row>
    <row r="330" spans="1:9" ht="22.5" x14ac:dyDescent="0.2">
      <c r="A330" s="83" t="s">
        <v>151</v>
      </c>
      <c r="B330" s="87" t="s">
        <v>283</v>
      </c>
      <c r="C330" s="87" t="s">
        <v>160</v>
      </c>
      <c r="D330" s="87" t="s">
        <v>297</v>
      </c>
      <c r="E330" s="84" t="s">
        <v>304</v>
      </c>
      <c r="F330" s="84" t="s">
        <v>152</v>
      </c>
      <c r="G330" s="141">
        <f t="shared" si="16"/>
        <v>26.76</v>
      </c>
      <c r="H330" s="362">
        <f t="shared" si="16"/>
        <v>26.220000000000002</v>
      </c>
    </row>
    <row r="331" spans="1:9" ht="22.5" x14ac:dyDescent="0.2">
      <c r="A331" s="115" t="s">
        <v>153</v>
      </c>
      <c r="B331" s="87" t="s">
        <v>283</v>
      </c>
      <c r="C331" s="87" t="s">
        <v>160</v>
      </c>
      <c r="D331" s="87" t="s">
        <v>297</v>
      </c>
      <c r="E331" s="84" t="s">
        <v>304</v>
      </c>
      <c r="F331" s="84" t="s">
        <v>154</v>
      </c>
      <c r="G331" s="141">
        <f>30*89.2%</f>
        <v>26.76</v>
      </c>
      <c r="H331" s="362">
        <f>30*87.4%</f>
        <v>26.220000000000002</v>
      </c>
    </row>
    <row r="332" spans="1:9" x14ac:dyDescent="0.2">
      <c r="A332" s="83" t="s">
        <v>305</v>
      </c>
      <c r="B332" s="87" t="s">
        <v>283</v>
      </c>
      <c r="C332" s="87" t="s">
        <v>160</v>
      </c>
      <c r="D332" s="87" t="s">
        <v>297</v>
      </c>
      <c r="E332" s="84" t="s">
        <v>306</v>
      </c>
      <c r="F332" s="84"/>
      <c r="G332" s="141">
        <f t="shared" ref="G332:H334" si="17">G333</f>
        <v>89.2</v>
      </c>
      <c r="H332" s="362">
        <f t="shared" si="17"/>
        <v>87.4</v>
      </c>
    </row>
    <row r="333" spans="1:9" x14ac:dyDescent="0.2">
      <c r="A333" s="83" t="s">
        <v>650</v>
      </c>
      <c r="B333" s="87" t="s">
        <v>283</v>
      </c>
      <c r="C333" s="87" t="s">
        <v>160</v>
      </c>
      <c r="D333" s="87" t="s">
        <v>297</v>
      </c>
      <c r="E333" s="84" t="s">
        <v>306</v>
      </c>
      <c r="F333" s="84" t="s">
        <v>150</v>
      </c>
      <c r="G333" s="141">
        <f t="shared" si="17"/>
        <v>89.2</v>
      </c>
      <c r="H333" s="362">
        <f t="shared" si="17"/>
        <v>87.4</v>
      </c>
    </row>
    <row r="334" spans="1:9" ht="22.5" x14ac:dyDescent="0.2">
      <c r="A334" s="83" t="s">
        <v>151</v>
      </c>
      <c r="B334" s="87" t="s">
        <v>283</v>
      </c>
      <c r="C334" s="87" t="s">
        <v>160</v>
      </c>
      <c r="D334" s="87" t="s">
        <v>297</v>
      </c>
      <c r="E334" s="84" t="s">
        <v>306</v>
      </c>
      <c r="F334" s="84" t="s">
        <v>152</v>
      </c>
      <c r="G334" s="141">
        <f t="shared" si="17"/>
        <v>89.2</v>
      </c>
      <c r="H334" s="362">
        <f t="shared" si="17"/>
        <v>87.4</v>
      </c>
    </row>
    <row r="335" spans="1:9" ht="22.5" x14ac:dyDescent="0.2">
      <c r="A335" s="115" t="s">
        <v>153</v>
      </c>
      <c r="B335" s="87" t="s">
        <v>283</v>
      </c>
      <c r="C335" s="87" t="s">
        <v>160</v>
      </c>
      <c r="D335" s="87" t="s">
        <v>297</v>
      </c>
      <c r="E335" s="84" t="s">
        <v>306</v>
      </c>
      <c r="F335" s="84" t="s">
        <v>154</v>
      </c>
      <c r="G335" s="141">
        <f>100*89.2%</f>
        <v>89.2</v>
      </c>
      <c r="H335" s="362">
        <f>100*87.4%</f>
        <v>87.4</v>
      </c>
    </row>
    <row r="336" spans="1:9" ht="22.5" x14ac:dyDescent="0.2">
      <c r="A336" s="83" t="s">
        <v>307</v>
      </c>
      <c r="B336" s="87" t="s">
        <v>283</v>
      </c>
      <c r="C336" s="87" t="s">
        <v>160</v>
      </c>
      <c r="D336" s="87" t="s">
        <v>297</v>
      </c>
      <c r="E336" s="84" t="s">
        <v>308</v>
      </c>
      <c r="F336" s="84"/>
      <c r="G336" s="141">
        <f t="shared" ref="G336:H338" si="18">G337</f>
        <v>178.4</v>
      </c>
      <c r="H336" s="362">
        <f t="shared" si="18"/>
        <v>174.8</v>
      </c>
    </row>
    <row r="337" spans="1:8" x14ac:dyDescent="0.2">
      <c r="A337" s="83" t="s">
        <v>650</v>
      </c>
      <c r="B337" s="87" t="s">
        <v>283</v>
      </c>
      <c r="C337" s="87" t="s">
        <v>160</v>
      </c>
      <c r="D337" s="87" t="s">
        <v>297</v>
      </c>
      <c r="E337" s="84" t="s">
        <v>308</v>
      </c>
      <c r="F337" s="84" t="s">
        <v>150</v>
      </c>
      <c r="G337" s="141">
        <f t="shared" si="18"/>
        <v>178.4</v>
      </c>
      <c r="H337" s="362">
        <f t="shared" si="18"/>
        <v>174.8</v>
      </c>
    </row>
    <row r="338" spans="1:8" ht="22.5" x14ac:dyDescent="0.2">
      <c r="A338" s="83" t="s">
        <v>151</v>
      </c>
      <c r="B338" s="87" t="s">
        <v>283</v>
      </c>
      <c r="C338" s="87" t="s">
        <v>160</v>
      </c>
      <c r="D338" s="87" t="s">
        <v>297</v>
      </c>
      <c r="E338" s="84" t="s">
        <v>308</v>
      </c>
      <c r="F338" s="84" t="s">
        <v>152</v>
      </c>
      <c r="G338" s="141">
        <f t="shared" si="18"/>
        <v>178.4</v>
      </c>
      <c r="H338" s="362">
        <f t="shared" si="18"/>
        <v>174.8</v>
      </c>
    </row>
    <row r="339" spans="1:8" ht="22.5" x14ac:dyDescent="0.2">
      <c r="A339" s="115" t="s">
        <v>153</v>
      </c>
      <c r="B339" s="87" t="s">
        <v>283</v>
      </c>
      <c r="C339" s="87" t="s">
        <v>160</v>
      </c>
      <c r="D339" s="87" t="s">
        <v>297</v>
      </c>
      <c r="E339" s="84" t="s">
        <v>308</v>
      </c>
      <c r="F339" s="84" t="s">
        <v>154</v>
      </c>
      <c r="G339" s="141">
        <f>200*89.2%</f>
        <v>178.4</v>
      </c>
      <c r="H339" s="362">
        <f>200*87.4%</f>
        <v>174.8</v>
      </c>
    </row>
    <row r="340" spans="1:8" x14ac:dyDescent="0.2">
      <c r="A340" s="83" t="s">
        <v>309</v>
      </c>
      <c r="B340" s="87" t="s">
        <v>283</v>
      </c>
      <c r="C340" s="87" t="s">
        <v>160</v>
      </c>
      <c r="D340" s="87" t="s">
        <v>297</v>
      </c>
      <c r="E340" s="84" t="s">
        <v>310</v>
      </c>
      <c r="F340" s="84"/>
      <c r="G340" s="141">
        <f t="shared" ref="G340:H342" si="19">G341</f>
        <v>26.76</v>
      </c>
      <c r="H340" s="362">
        <f t="shared" si="19"/>
        <v>26.220000000000002</v>
      </c>
    </row>
    <row r="341" spans="1:8" x14ac:dyDescent="0.2">
      <c r="A341" s="83" t="s">
        <v>650</v>
      </c>
      <c r="B341" s="87" t="s">
        <v>283</v>
      </c>
      <c r="C341" s="87" t="s">
        <v>160</v>
      </c>
      <c r="D341" s="87" t="s">
        <v>297</v>
      </c>
      <c r="E341" s="84" t="s">
        <v>310</v>
      </c>
      <c r="F341" s="84" t="s">
        <v>150</v>
      </c>
      <c r="G341" s="141">
        <f t="shared" si="19"/>
        <v>26.76</v>
      </c>
      <c r="H341" s="362">
        <f t="shared" si="19"/>
        <v>26.220000000000002</v>
      </c>
    </row>
    <row r="342" spans="1:8" ht="22.5" x14ac:dyDescent="0.2">
      <c r="A342" s="83" t="s">
        <v>151</v>
      </c>
      <c r="B342" s="87" t="s">
        <v>283</v>
      </c>
      <c r="C342" s="87" t="s">
        <v>160</v>
      </c>
      <c r="D342" s="87" t="s">
        <v>297</v>
      </c>
      <c r="E342" s="84" t="s">
        <v>310</v>
      </c>
      <c r="F342" s="84" t="s">
        <v>152</v>
      </c>
      <c r="G342" s="141">
        <f t="shared" si="19"/>
        <v>26.76</v>
      </c>
      <c r="H342" s="362">
        <f t="shared" si="19"/>
        <v>26.220000000000002</v>
      </c>
    </row>
    <row r="343" spans="1:8" ht="22.5" x14ac:dyDescent="0.2">
      <c r="A343" s="115" t="s">
        <v>153</v>
      </c>
      <c r="B343" s="87" t="s">
        <v>283</v>
      </c>
      <c r="C343" s="87" t="s">
        <v>160</v>
      </c>
      <c r="D343" s="87" t="s">
        <v>297</v>
      </c>
      <c r="E343" s="84" t="s">
        <v>310</v>
      </c>
      <c r="F343" s="84" t="s">
        <v>154</v>
      </c>
      <c r="G343" s="141">
        <f>30*89.2%</f>
        <v>26.76</v>
      </c>
      <c r="H343" s="362">
        <f>30*87.4%</f>
        <v>26.220000000000002</v>
      </c>
    </row>
    <row r="344" spans="1:8" x14ac:dyDescent="0.2">
      <c r="A344" s="115" t="s">
        <v>311</v>
      </c>
      <c r="B344" s="87" t="s">
        <v>283</v>
      </c>
      <c r="C344" s="87" t="s">
        <v>160</v>
      </c>
      <c r="D344" s="87" t="s">
        <v>297</v>
      </c>
      <c r="E344" s="84" t="s">
        <v>312</v>
      </c>
      <c r="F344" s="84"/>
      <c r="G344" s="141">
        <f t="shared" ref="G344:H346" si="20">G345</f>
        <v>59.050400000000003</v>
      </c>
      <c r="H344" s="362">
        <f t="shared" si="20"/>
        <v>57.858800000000009</v>
      </c>
    </row>
    <row r="345" spans="1:8" x14ac:dyDescent="0.2">
      <c r="A345" s="83" t="s">
        <v>313</v>
      </c>
      <c r="B345" s="87" t="s">
        <v>283</v>
      </c>
      <c r="C345" s="87" t="s">
        <v>160</v>
      </c>
      <c r="D345" s="87" t="s">
        <v>297</v>
      </c>
      <c r="E345" s="84" t="s">
        <v>314</v>
      </c>
      <c r="F345" s="84"/>
      <c r="G345" s="141">
        <f t="shared" si="20"/>
        <v>59.050400000000003</v>
      </c>
      <c r="H345" s="362">
        <f t="shared" si="20"/>
        <v>57.858800000000009</v>
      </c>
    </row>
    <row r="346" spans="1:8" x14ac:dyDescent="0.2">
      <c r="A346" s="83" t="s">
        <v>172</v>
      </c>
      <c r="B346" s="87" t="s">
        <v>283</v>
      </c>
      <c r="C346" s="87" t="s">
        <v>160</v>
      </c>
      <c r="D346" s="87" t="s">
        <v>297</v>
      </c>
      <c r="E346" s="84" t="s">
        <v>314</v>
      </c>
      <c r="F346" s="84">
        <v>800</v>
      </c>
      <c r="G346" s="141">
        <f t="shared" si="20"/>
        <v>59.050400000000003</v>
      </c>
      <c r="H346" s="362">
        <f t="shared" si="20"/>
        <v>57.858800000000009</v>
      </c>
    </row>
    <row r="347" spans="1:8" ht="33.75" x14ac:dyDescent="0.2">
      <c r="A347" s="115" t="s">
        <v>653</v>
      </c>
      <c r="B347" s="87" t="s">
        <v>283</v>
      </c>
      <c r="C347" s="87" t="s">
        <v>160</v>
      </c>
      <c r="D347" s="87" t="s">
        <v>297</v>
      </c>
      <c r="E347" s="84" t="s">
        <v>314</v>
      </c>
      <c r="F347" s="84">
        <v>810</v>
      </c>
      <c r="G347" s="141">
        <f>66.2*89.2%</f>
        <v>59.050400000000003</v>
      </c>
      <c r="H347" s="362">
        <f>66.2*87.4%</f>
        <v>57.858800000000009</v>
      </c>
    </row>
    <row r="348" spans="1:8" ht="22.5" x14ac:dyDescent="0.2">
      <c r="A348" s="83" t="s">
        <v>316</v>
      </c>
      <c r="B348" s="87" t="s">
        <v>283</v>
      </c>
      <c r="C348" s="87" t="s">
        <v>160</v>
      </c>
      <c r="D348" s="87" t="s">
        <v>297</v>
      </c>
      <c r="E348" s="84" t="s">
        <v>317</v>
      </c>
      <c r="F348" s="84"/>
      <c r="G348" s="141">
        <f t="shared" ref="G348:H351" si="21">G349</f>
        <v>172.86960000000002</v>
      </c>
      <c r="H348" s="362">
        <f t="shared" si="21"/>
        <v>169.38120000000004</v>
      </c>
    </row>
    <row r="349" spans="1:8" ht="22.5" x14ac:dyDescent="0.2">
      <c r="A349" s="83" t="s">
        <v>318</v>
      </c>
      <c r="B349" s="87" t="s">
        <v>283</v>
      </c>
      <c r="C349" s="87" t="s">
        <v>160</v>
      </c>
      <c r="D349" s="87" t="s">
        <v>297</v>
      </c>
      <c r="E349" s="84" t="s">
        <v>319</v>
      </c>
      <c r="F349" s="84"/>
      <c r="G349" s="141">
        <f t="shared" si="21"/>
        <v>172.86960000000002</v>
      </c>
      <c r="H349" s="362">
        <f t="shared" si="21"/>
        <v>169.38120000000004</v>
      </c>
    </row>
    <row r="350" spans="1:8" x14ac:dyDescent="0.2">
      <c r="A350" s="75" t="s">
        <v>197</v>
      </c>
      <c r="B350" s="87" t="s">
        <v>283</v>
      </c>
      <c r="C350" s="87" t="s">
        <v>160</v>
      </c>
      <c r="D350" s="87" t="s">
        <v>297</v>
      </c>
      <c r="E350" s="84" t="s">
        <v>319</v>
      </c>
      <c r="F350" s="84">
        <v>300</v>
      </c>
      <c r="G350" s="141">
        <f t="shared" si="21"/>
        <v>172.86960000000002</v>
      </c>
      <c r="H350" s="362">
        <f t="shared" si="21"/>
        <v>169.38120000000004</v>
      </c>
    </row>
    <row r="351" spans="1:8" ht="33.75" x14ac:dyDescent="0.2">
      <c r="A351" s="83" t="s">
        <v>572</v>
      </c>
      <c r="B351" s="87" t="s">
        <v>283</v>
      </c>
      <c r="C351" s="87" t="s">
        <v>160</v>
      </c>
      <c r="D351" s="87" t="s">
        <v>297</v>
      </c>
      <c r="E351" s="84" t="s">
        <v>319</v>
      </c>
      <c r="F351" s="84">
        <v>320</v>
      </c>
      <c r="G351" s="141">
        <f t="shared" si="21"/>
        <v>172.86960000000002</v>
      </c>
      <c r="H351" s="362">
        <f t="shared" si="21"/>
        <v>169.38120000000004</v>
      </c>
    </row>
    <row r="352" spans="1:8" x14ac:dyDescent="0.2">
      <c r="A352" s="115" t="s">
        <v>469</v>
      </c>
      <c r="B352" s="87" t="s">
        <v>283</v>
      </c>
      <c r="C352" s="87" t="s">
        <v>160</v>
      </c>
      <c r="D352" s="87" t="s">
        <v>297</v>
      </c>
      <c r="E352" s="84" t="s">
        <v>319</v>
      </c>
      <c r="F352" s="84">
        <v>321</v>
      </c>
      <c r="G352" s="141">
        <f>193.8*89.2%</f>
        <v>172.86960000000002</v>
      </c>
      <c r="H352" s="362">
        <f>193.8*87.4%</f>
        <v>169.38120000000004</v>
      </c>
    </row>
    <row r="353" spans="1:10" ht="31.5" x14ac:dyDescent="0.2">
      <c r="A353" s="179" t="s">
        <v>320</v>
      </c>
      <c r="B353" s="110" t="s">
        <v>321</v>
      </c>
      <c r="C353" s="109" t="s">
        <v>182</v>
      </c>
      <c r="D353" s="110" t="s">
        <v>182</v>
      </c>
      <c r="E353" s="109" t="s">
        <v>183</v>
      </c>
      <c r="F353" s="109" t="s">
        <v>184</v>
      </c>
      <c r="G353" s="132">
        <f>SUM(G354+G392+G379+G385)</f>
        <v>17051.995999999999</v>
      </c>
      <c r="H353" s="346">
        <f>SUM(H354+H392+H379+H385)</f>
        <v>16707.897000000001</v>
      </c>
      <c r="I353" s="232"/>
    </row>
    <row r="354" spans="1:10" x14ac:dyDescent="0.2">
      <c r="A354" s="98" t="s">
        <v>322</v>
      </c>
      <c r="B354" s="99" t="s">
        <v>321</v>
      </c>
      <c r="C354" s="97" t="s">
        <v>122</v>
      </c>
      <c r="D354" s="99" t="s">
        <v>182</v>
      </c>
      <c r="E354" s="97" t="s">
        <v>183</v>
      </c>
      <c r="F354" s="97" t="s">
        <v>184</v>
      </c>
      <c r="G354" s="133">
        <f>G355+G374</f>
        <v>4116.7563999999993</v>
      </c>
      <c r="H354" s="347">
        <f>H355+H374</f>
        <v>4020.2008000000005</v>
      </c>
      <c r="I354" s="220"/>
      <c r="J354" s="220"/>
    </row>
    <row r="355" spans="1:10" ht="22.5" x14ac:dyDescent="0.2">
      <c r="A355" s="83" t="s">
        <v>323</v>
      </c>
      <c r="B355" s="87" t="s">
        <v>321</v>
      </c>
      <c r="C355" s="84" t="s">
        <v>122</v>
      </c>
      <c r="D355" s="87" t="s">
        <v>222</v>
      </c>
      <c r="E355" s="84" t="s">
        <v>183</v>
      </c>
      <c r="F355" s="84" t="s">
        <v>184</v>
      </c>
      <c r="G355" s="135">
        <f t="shared" ref="G355:H357" si="22">G356</f>
        <v>4111.3563999999997</v>
      </c>
      <c r="H355" s="349">
        <f t="shared" si="22"/>
        <v>4014.8008000000004</v>
      </c>
      <c r="I355" s="156"/>
    </row>
    <row r="356" spans="1:10" ht="22.5" x14ac:dyDescent="0.2">
      <c r="A356" s="83" t="s">
        <v>324</v>
      </c>
      <c r="B356" s="87" t="s">
        <v>321</v>
      </c>
      <c r="C356" s="84" t="s">
        <v>122</v>
      </c>
      <c r="D356" s="87" t="s">
        <v>222</v>
      </c>
      <c r="E356" s="84" t="s">
        <v>325</v>
      </c>
      <c r="F356" s="84" t="s">
        <v>184</v>
      </c>
      <c r="G356" s="135">
        <f t="shared" si="22"/>
        <v>4111.3563999999997</v>
      </c>
      <c r="H356" s="349">
        <f t="shared" si="22"/>
        <v>4014.8008000000004</v>
      </c>
    </row>
    <row r="357" spans="1:10" ht="33.75" x14ac:dyDescent="0.2">
      <c r="A357" s="83" t="s">
        <v>326</v>
      </c>
      <c r="B357" s="87" t="s">
        <v>321</v>
      </c>
      <c r="C357" s="84" t="s">
        <v>122</v>
      </c>
      <c r="D357" s="87" t="s">
        <v>222</v>
      </c>
      <c r="E357" s="84" t="s">
        <v>327</v>
      </c>
      <c r="F357" s="84" t="s">
        <v>184</v>
      </c>
      <c r="G357" s="135">
        <f t="shared" si="22"/>
        <v>4111.3563999999997</v>
      </c>
      <c r="H357" s="349">
        <f t="shared" si="22"/>
        <v>4014.8008000000004</v>
      </c>
    </row>
    <row r="358" spans="1:10" ht="22.5" x14ac:dyDescent="0.2">
      <c r="A358" s="83" t="s">
        <v>328</v>
      </c>
      <c r="B358" s="87" t="s">
        <v>321</v>
      </c>
      <c r="C358" s="84" t="s">
        <v>122</v>
      </c>
      <c r="D358" s="87" t="s">
        <v>222</v>
      </c>
      <c r="E358" s="84" t="s">
        <v>329</v>
      </c>
      <c r="F358" s="84"/>
      <c r="G358" s="135">
        <f>G359+G363+G366+G370</f>
        <v>4111.3563999999997</v>
      </c>
      <c r="H358" s="349">
        <f>H359+H363+H366+H370</f>
        <v>4014.8008000000004</v>
      </c>
    </row>
    <row r="359" spans="1:10" ht="33.75" x14ac:dyDescent="0.2">
      <c r="A359" s="83" t="s">
        <v>139</v>
      </c>
      <c r="B359" s="87" t="s">
        <v>321</v>
      </c>
      <c r="C359" s="84" t="s">
        <v>122</v>
      </c>
      <c r="D359" s="87" t="s">
        <v>222</v>
      </c>
      <c r="E359" s="84" t="s">
        <v>330</v>
      </c>
      <c r="F359" s="84" t="s">
        <v>140</v>
      </c>
      <c r="G359" s="135">
        <f>G360</f>
        <v>3393.4355999999998</v>
      </c>
      <c r="H359" s="349">
        <f>H360</f>
        <v>3324.9582000000005</v>
      </c>
      <c r="I359" s="148"/>
    </row>
    <row r="360" spans="1:10" x14ac:dyDescent="0.2">
      <c r="A360" s="83" t="s">
        <v>168</v>
      </c>
      <c r="B360" s="87" t="s">
        <v>321</v>
      </c>
      <c r="C360" s="84" t="s">
        <v>122</v>
      </c>
      <c r="D360" s="87" t="s">
        <v>222</v>
      </c>
      <c r="E360" s="84" t="s">
        <v>331</v>
      </c>
      <c r="F360" s="84" t="s">
        <v>232</v>
      </c>
      <c r="G360" s="135">
        <f>G361+G362</f>
        <v>3393.4355999999998</v>
      </c>
      <c r="H360" s="349">
        <f>H361+H362</f>
        <v>3324.9582000000005</v>
      </c>
    </row>
    <row r="361" spans="1:10" x14ac:dyDescent="0.2">
      <c r="A361" s="114" t="s">
        <v>169</v>
      </c>
      <c r="B361" s="87" t="s">
        <v>321</v>
      </c>
      <c r="C361" s="84" t="s">
        <v>122</v>
      </c>
      <c r="D361" s="87" t="s">
        <v>222</v>
      </c>
      <c r="E361" s="84" t="s">
        <v>331</v>
      </c>
      <c r="F361" s="84" t="s">
        <v>233</v>
      </c>
      <c r="G361" s="135">
        <f>2922*89.2%</f>
        <v>2606.424</v>
      </c>
      <c r="H361" s="349">
        <f>2922*87.4%</f>
        <v>2553.8280000000004</v>
      </c>
    </row>
    <row r="362" spans="1:10" ht="33.75" x14ac:dyDescent="0.2">
      <c r="A362" s="114" t="s">
        <v>170</v>
      </c>
      <c r="B362" s="87" t="s">
        <v>321</v>
      </c>
      <c r="C362" s="84" t="s">
        <v>122</v>
      </c>
      <c r="D362" s="87" t="s">
        <v>222</v>
      </c>
      <c r="E362" s="84" t="s">
        <v>331</v>
      </c>
      <c r="F362" s="84">
        <v>129</v>
      </c>
      <c r="G362" s="135">
        <f>882.3*89.2%</f>
        <v>787.01159999999993</v>
      </c>
      <c r="H362" s="349">
        <f>882.3*87.4%</f>
        <v>771.13020000000006</v>
      </c>
      <c r="I362" s="148"/>
    </row>
    <row r="363" spans="1:10" ht="33.75" x14ac:dyDescent="0.2">
      <c r="A363" s="83" t="s">
        <v>139</v>
      </c>
      <c r="B363" s="87" t="s">
        <v>321</v>
      </c>
      <c r="C363" s="84" t="s">
        <v>122</v>
      </c>
      <c r="D363" s="87" t="s">
        <v>222</v>
      </c>
      <c r="E363" s="84" t="s">
        <v>332</v>
      </c>
      <c r="F363" s="84">
        <v>100</v>
      </c>
      <c r="G363" s="135">
        <f>G364</f>
        <v>31.487599999999997</v>
      </c>
      <c r="H363" s="349">
        <f>H364</f>
        <v>30.8522</v>
      </c>
      <c r="I363" s="148"/>
    </row>
    <row r="364" spans="1:10" x14ac:dyDescent="0.2">
      <c r="A364" s="83" t="s">
        <v>168</v>
      </c>
      <c r="B364" s="87" t="s">
        <v>321</v>
      </c>
      <c r="C364" s="84" t="s">
        <v>122</v>
      </c>
      <c r="D364" s="87" t="s">
        <v>222</v>
      </c>
      <c r="E364" s="84" t="s">
        <v>332</v>
      </c>
      <c r="F364" s="84">
        <v>120</v>
      </c>
      <c r="G364" s="135">
        <f>G365</f>
        <v>31.487599999999997</v>
      </c>
      <c r="H364" s="349">
        <f>H365</f>
        <v>30.8522</v>
      </c>
      <c r="I364" s="148"/>
    </row>
    <row r="365" spans="1:10" ht="22.5" x14ac:dyDescent="0.2">
      <c r="A365" s="69" t="s">
        <v>293</v>
      </c>
      <c r="B365" s="87" t="s">
        <v>321</v>
      </c>
      <c r="C365" s="84" t="s">
        <v>122</v>
      </c>
      <c r="D365" s="87" t="s">
        <v>222</v>
      </c>
      <c r="E365" s="84" t="s">
        <v>332</v>
      </c>
      <c r="F365" s="84" t="s">
        <v>295</v>
      </c>
      <c r="G365" s="135">
        <f>35.3*89.2%</f>
        <v>31.487599999999997</v>
      </c>
      <c r="H365" s="349">
        <f>35.3*87.4%</f>
        <v>30.8522</v>
      </c>
    </row>
    <row r="366" spans="1:10" x14ac:dyDescent="0.2">
      <c r="A366" s="83" t="s">
        <v>650</v>
      </c>
      <c r="B366" s="87" t="s">
        <v>321</v>
      </c>
      <c r="C366" s="84" t="s">
        <v>122</v>
      </c>
      <c r="D366" s="87" t="s">
        <v>222</v>
      </c>
      <c r="E366" s="84" t="s">
        <v>332</v>
      </c>
      <c r="F366" s="84" t="s">
        <v>150</v>
      </c>
      <c r="G366" s="135">
        <f>G367</f>
        <v>683.22199999999998</v>
      </c>
      <c r="H366" s="349">
        <f>H367</f>
        <v>655.84400000000005</v>
      </c>
    </row>
    <row r="367" spans="1:10" ht="22.5" x14ac:dyDescent="0.2">
      <c r="A367" s="83" t="s">
        <v>151</v>
      </c>
      <c r="B367" s="87" t="s">
        <v>321</v>
      </c>
      <c r="C367" s="84" t="s">
        <v>122</v>
      </c>
      <c r="D367" s="87" t="s">
        <v>222</v>
      </c>
      <c r="E367" s="84" t="s">
        <v>332</v>
      </c>
      <c r="F367" s="84" t="s">
        <v>152</v>
      </c>
      <c r="G367" s="135">
        <f>G369+G368</f>
        <v>683.22199999999998</v>
      </c>
      <c r="H367" s="349">
        <f>H369+H368</f>
        <v>655.84400000000005</v>
      </c>
    </row>
    <row r="368" spans="1:10" ht="22.5" x14ac:dyDescent="0.2">
      <c r="A368" s="115" t="s">
        <v>171</v>
      </c>
      <c r="B368" s="87" t="s">
        <v>321</v>
      </c>
      <c r="C368" s="84" t="s">
        <v>122</v>
      </c>
      <c r="D368" s="87" t="s">
        <v>222</v>
      </c>
      <c r="E368" s="84" t="s">
        <v>332</v>
      </c>
      <c r="F368" s="84">
        <v>242</v>
      </c>
      <c r="G368" s="135">
        <v>342.93</v>
      </c>
      <c r="H368" s="349">
        <v>315.57</v>
      </c>
    </row>
    <row r="369" spans="1:13" ht="22.5" x14ac:dyDescent="0.2">
      <c r="A369" s="115" t="s">
        <v>153</v>
      </c>
      <c r="B369" s="87" t="s">
        <v>321</v>
      </c>
      <c r="C369" s="84" t="s">
        <v>122</v>
      </c>
      <c r="D369" s="87" t="s">
        <v>222</v>
      </c>
      <c r="E369" s="84" t="s">
        <v>332</v>
      </c>
      <c r="F369" s="84" t="s">
        <v>154</v>
      </c>
      <c r="G369" s="135">
        <f>339.4+1*89.2%</f>
        <v>340.29199999999997</v>
      </c>
      <c r="H369" s="349">
        <f>339.4+1*87.4%</f>
        <v>340.274</v>
      </c>
    </row>
    <row r="370" spans="1:13" x14ac:dyDescent="0.2">
      <c r="A370" s="115" t="s">
        <v>172</v>
      </c>
      <c r="B370" s="87" t="s">
        <v>321</v>
      </c>
      <c r="C370" s="84" t="s">
        <v>122</v>
      </c>
      <c r="D370" s="87" t="s">
        <v>222</v>
      </c>
      <c r="E370" s="84" t="s">
        <v>332</v>
      </c>
      <c r="F370" s="84" t="s">
        <v>235</v>
      </c>
      <c r="G370" s="135">
        <f>G371</f>
        <v>3.2111999999999998</v>
      </c>
      <c r="H370" s="349">
        <f>H371</f>
        <v>3.1464000000000003</v>
      </c>
    </row>
    <row r="371" spans="1:13" x14ac:dyDescent="0.2">
      <c r="A371" s="115" t="s">
        <v>173</v>
      </c>
      <c r="B371" s="87" t="s">
        <v>321</v>
      </c>
      <c r="C371" s="84" t="s">
        <v>122</v>
      </c>
      <c r="D371" s="87" t="s">
        <v>222</v>
      </c>
      <c r="E371" s="84" t="s">
        <v>332</v>
      </c>
      <c r="F371" s="84" t="s">
        <v>174</v>
      </c>
      <c r="G371" s="135">
        <f>G372+G373</f>
        <v>3.2111999999999998</v>
      </c>
      <c r="H371" s="349">
        <f>H372+H373</f>
        <v>3.1464000000000003</v>
      </c>
    </row>
    <row r="372" spans="1:13" x14ac:dyDescent="0.2">
      <c r="A372" s="70" t="s">
        <v>236</v>
      </c>
      <c r="B372" s="87" t="s">
        <v>321</v>
      </c>
      <c r="C372" s="84" t="s">
        <v>122</v>
      </c>
      <c r="D372" s="87" t="s">
        <v>222</v>
      </c>
      <c r="E372" s="84" t="s">
        <v>332</v>
      </c>
      <c r="F372" s="84" t="s">
        <v>258</v>
      </c>
      <c r="G372" s="135">
        <f>0.8*89.2%</f>
        <v>0.71360000000000001</v>
      </c>
      <c r="H372" s="349">
        <f>0.8*87.4%</f>
        <v>0.69920000000000015</v>
      </c>
    </row>
    <row r="373" spans="1:13" x14ac:dyDescent="0.2">
      <c r="A373" s="70" t="s">
        <v>564</v>
      </c>
      <c r="B373" s="87" t="s">
        <v>321</v>
      </c>
      <c r="C373" s="84" t="s">
        <v>122</v>
      </c>
      <c r="D373" s="87" t="s">
        <v>222</v>
      </c>
      <c r="E373" s="84" t="s">
        <v>332</v>
      </c>
      <c r="F373" s="84">
        <v>853</v>
      </c>
      <c r="G373" s="135">
        <f>2.8*89.2%</f>
        <v>2.4975999999999998</v>
      </c>
      <c r="H373" s="349">
        <f>2.8*87.4%</f>
        <v>2.4472</v>
      </c>
    </row>
    <row r="374" spans="1:13" x14ac:dyDescent="0.2">
      <c r="A374" s="221" t="s">
        <v>333</v>
      </c>
      <c r="B374" s="87" t="s">
        <v>321</v>
      </c>
      <c r="C374" s="91" t="s">
        <v>122</v>
      </c>
      <c r="D374" s="120" t="s">
        <v>334</v>
      </c>
      <c r="E374" s="91"/>
      <c r="F374" s="91"/>
      <c r="G374" s="136">
        <f t="shared" ref="G374:H377" si="23">G375</f>
        <v>5.4</v>
      </c>
      <c r="H374" s="363">
        <f t="shared" si="23"/>
        <v>5.4</v>
      </c>
    </row>
    <row r="375" spans="1:13" x14ac:dyDescent="0.2">
      <c r="A375" s="83" t="s">
        <v>155</v>
      </c>
      <c r="B375" s="87" t="s">
        <v>321</v>
      </c>
      <c r="C375" s="87" t="s">
        <v>122</v>
      </c>
      <c r="D375" s="87" t="s">
        <v>334</v>
      </c>
      <c r="E375" s="120" t="s">
        <v>335</v>
      </c>
      <c r="F375" s="91"/>
      <c r="G375" s="136">
        <f t="shared" si="23"/>
        <v>5.4</v>
      </c>
      <c r="H375" s="363">
        <f t="shared" si="23"/>
        <v>5.4</v>
      </c>
    </row>
    <row r="376" spans="1:13" ht="22.5" x14ac:dyDescent="0.2">
      <c r="A376" s="310" t="s">
        <v>76</v>
      </c>
      <c r="B376" s="311" t="s">
        <v>321</v>
      </c>
      <c r="C376" s="230" t="s">
        <v>122</v>
      </c>
      <c r="D376" s="311" t="s">
        <v>334</v>
      </c>
      <c r="E376" s="230" t="s">
        <v>336</v>
      </c>
      <c r="F376" s="230"/>
      <c r="G376" s="309">
        <f t="shared" si="23"/>
        <v>5.4</v>
      </c>
      <c r="H376" s="350">
        <f t="shared" si="23"/>
        <v>5.4</v>
      </c>
    </row>
    <row r="377" spans="1:13" x14ac:dyDescent="0.2">
      <c r="A377" s="83" t="s">
        <v>337</v>
      </c>
      <c r="B377" s="87" t="s">
        <v>321</v>
      </c>
      <c r="C377" s="84" t="s">
        <v>122</v>
      </c>
      <c r="D377" s="87" t="s">
        <v>334</v>
      </c>
      <c r="E377" s="84" t="s">
        <v>336</v>
      </c>
      <c r="F377" s="84">
        <v>500</v>
      </c>
      <c r="G377" s="135">
        <f t="shared" si="23"/>
        <v>5.4</v>
      </c>
      <c r="H377" s="349">
        <f t="shared" si="23"/>
        <v>5.4</v>
      </c>
    </row>
    <row r="378" spans="1:13" x14ac:dyDescent="0.2">
      <c r="A378" s="83" t="s">
        <v>338</v>
      </c>
      <c r="B378" s="87" t="s">
        <v>321</v>
      </c>
      <c r="C378" s="84" t="s">
        <v>122</v>
      </c>
      <c r="D378" s="87" t="s">
        <v>334</v>
      </c>
      <c r="E378" s="84" t="s">
        <v>336</v>
      </c>
      <c r="F378" s="84">
        <v>530</v>
      </c>
      <c r="G378" s="135">
        <v>5.4</v>
      </c>
      <c r="H378" s="349">
        <v>5.4</v>
      </c>
    </row>
    <row r="379" spans="1:13" x14ac:dyDescent="0.2">
      <c r="A379" s="98" t="s">
        <v>339</v>
      </c>
      <c r="B379" s="99" t="s">
        <v>321</v>
      </c>
      <c r="C379" s="99" t="s">
        <v>254</v>
      </c>
      <c r="D379" s="99"/>
      <c r="E379" s="97"/>
      <c r="F379" s="97"/>
      <c r="G379" s="133">
        <f t="shared" ref="G379:H383" si="24">G380</f>
        <v>499.6</v>
      </c>
      <c r="H379" s="347">
        <f t="shared" si="24"/>
        <v>503</v>
      </c>
    </row>
    <row r="380" spans="1:13" s="74" customFormat="1" x14ac:dyDescent="0.2">
      <c r="A380" s="98" t="s">
        <v>340</v>
      </c>
      <c r="B380" s="99" t="s">
        <v>321</v>
      </c>
      <c r="C380" s="99" t="s">
        <v>254</v>
      </c>
      <c r="D380" s="99" t="s">
        <v>188</v>
      </c>
      <c r="E380" s="99"/>
      <c r="F380" s="99"/>
      <c r="G380" s="133">
        <f t="shared" si="24"/>
        <v>499.6</v>
      </c>
      <c r="H380" s="347">
        <f t="shared" si="24"/>
        <v>503</v>
      </c>
      <c r="I380" s="150"/>
      <c r="J380" s="150"/>
      <c r="K380" s="150"/>
      <c r="L380" s="150"/>
      <c r="M380" s="150"/>
    </row>
    <row r="381" spans="1:13" s="74" customFormat="1" x14ac:dyDescent="0.2">
      <c r="A381" s="83" t="s">
        <v>155</v>
      </c>
      <c r="B381" s="87" t="s">
        <v>321</v>
      </c>
      <c r="C381" s="87" t="s">
        <v>254</v>
      </c>
      <c r="D381" s="87" t="s">
        <v>188</v>
      </c>
      <c r="E381" s="120" t="s">
        <v>335</v>
      </c>
      <c r="F381" s="84"/>
      <c r="G381" s="135">
        <f t="shared" si="24"/>
        <v>499.6</v>
      </c>
      <c r="H381" s="349">
        <f t="shared" si="24"/>
        <v>503</v>
      </c>
      <c r="I381" s="150"/>
      <c r="J381" s="150"/>
      <c r="K381" s="150"/>
      <c r="L381" s="150"/>
      <c r="M381" s="150"/>
    </row>
    <row r="382" spans="1:13" s="59" customFormat="1" ht="22.5" x14ac:dyDescent="0.2">
      <c r="A382" s="310" t="s">
        <v>72</v>
      </c>
      <c r="B382" s="311" t="s">
        <v>321</v>
      </c>
      <c r="C382" s="311" t="s">
        <v>254</v>
      </c>
      <c r="D382" s="311" t="s">
        <v>188</v>
      </c>
      <c r="E382" s="311" t="s">
        <v>341</v>
      </c>
      <c r="F382" s="230"/>
      <c r="G382" s="309">
        <f t="shared" si="24"/>
        <v>499.6</v>
      </c>
      <c r="H382" s="350">
        <f t="shared" si="24"/>
        <v>503</v>
      </c>
      <c r="I382" s="89"/>
      <c r="J382" s="89"/>
      <c r="K382" s="89"/>
      <c r="L382" s="89"/>
      <c r="M382" s="89"/>
    </row>
    <row r="383" spans="1:13" s="59" customFormat="1" ht="11.25" x14ac:dyDescent="0.2">
      <c r="A383" s="83" t="s">
        <v>337</v>
      </c>
      <c r="B383" s="87" t="s">
        <v>321</v>
      </c>
      <c r="C383" s="87" t="s">
        <v>254</v>
      </c>
      <c r="D383" s="87" t="s">
        <v>188</v>
      </c>
      <c r="E383" s="87" t="s">
        <v>341</v>
      </c>
      <c r="F383" s="87" t="s">
        <v>342</v>
      </c>
      <c r="G383" s="135">
        <f t="shared" si="24"/>
        <v>499.6</v>
      </c>
      <c r="H383" s="349">
        <f t="shared" si="24"/>
        <v>503</v>
      </c>
      <c r="I383" s="89"/>
      <c r="J383" s="89"/>
      <c r="K383" s="89"/>
      <c r="L383" s="89"/>
      <c r="M383" s="89"/>
    </row>
    <row r="384" spans="1:13" s="59" customFormat="1" ht="11.25" x14ac:dyDescent="0.2">
      <c r="A384" s="83" t="s">
        <v>338</v>
      </c>
      <c r="B384" s="87" t="s">
        <v>321</v>
      </c>
      <c r="C384" s="87" t="s">
        <v>254</v>
      </c>
      <c r="D384" s="87" t="s">
        <v>188</v>
      </c>
      <c r="E384" s="87" t="s">
        <v>341</v>
      </c>
      <c r="F384" s="87" t="s">
        <v>343</v>
      </c>
      <c r="G384" s="135">
        <v>499.6</v>
      </c>
      <c r="H384" s="349">
        <v>503</v>
      </c>
      <c r="I384" s="89"/>
      <c r="J384" s="89"/>
      <c r="K384" s="89"/>
      <c r="L384" s="89"/>
      <c r="M384" s="89"/>
    </row>
    <row r="385" spans="1:13" ht="21" x14ac:dyDescent="0.2">
      <c r="A385" s="98" t="s">
        <v>344</v>
      </c>
      <c r="B385" s="99" t="s">
        <v>321</v>
      </c>
      <c r="C385" s="97">
        <v>13</v>
      </c>
      <c r="D385" s="99"/>
      <c r="E385" s="97"/>
      <c r="F385" s="97"/>
      <c r="G385" s="145">
        <f t="shared" ref="G385:H390" si="25">G386</f>
        <v>17.84</v>
      </c>
      <c r="H385" s="364">
        <f t="shared" si="25"/>
        <v>17.480000000000004</v>
      </c>
    </row>
    <row r="386" spans="1:13" ht="21" x14ac:dyDescent="0.2">
      <c r="A386" s="98" t="s">
        <v>345</v>
      </c>
      <c r="B386" s="99" t="s">
        <v>321</v>
      </c>
      <c r="C386" s="97">
        <v>13</v>
      </c>
      <c r="D386" s="99" t="s">
        <v>122</v>
      </c>
      <c r="E386" s="97"/>
      <c r="F386" s="97"/>
      <c r="G386" s="145">
        <f t="shared" si="25"/>
        <v>17.84</v>
      </c>
      <c r="H386" s="364">
        <f t="shared" si="25"/>
        <v>17.480000000000004</v>
      </c>
    </row>
    <row r="387" spans="1:13" ht="22.5" x14ac:dyDescent="0.2">
      <c r="A387" s="83" t="s">
        <v>324</v>
      </c>
      <c r="B387" s="87" t="s">
        <v>321</v>
      </c>
      <c r="C387" s="84">
        <v>13</v>
      </c>
      <c r="D387" s="87" t="s">
        <v>122</v>
      </c>
      <c r="E387" s="84" t="s">
        <v>325</v>
      </c>
      <c r="F387" s="84"/>
      <c r="G387" s="144">
        <f t="shared" si="25"/>
        <v>17.84</v>
      </c>
      <c r="H387" s="365">
        <f t="shared" si="25"/>
        <v>17.480000000000004</v>
      </c>
    </row>
    <row r="388" spans="1:13" s="59" customFormat="1" ht="11.25" x14ac:dyDescent="0.2">
      <c r="A388" s="83" t="s">
        <v>346</v>
      </c>
      <c r="B388" s="87" t="s">
        <v>321</v>
      </c>
      <c r="C388" s="84">
        <v>13</v>
      </c>
      <c r="D388" s="87" t="s">
        <v>122</v>
      </c>
      <c r="E388" s="84" t="s">
        <v>347</v>
      </c>
      <c r="F388" s="84"/>
      <c r="G388" s="144">
        <f t="shared" si="25"/>
        <v>17.84</v>
      </c>
      <c r="H388" s="365">
        <f t="shared" si="25"/>
        <v>17.480000000000004</v>
      </c>
      <c r="I388" s="89"/>
      <c r="J388" s="89"/>
      <c r="K388" s="89"/>
      <c r="L388" s="89"/>
      <c r="M388" s="89"/>
    </row>
    <row r="389" spans="1:13" ht="45" x14ac:dyDescent="0.2">
      <c r="A389" s="83" t="s">
        <v>348</v>
      </c>
      <c r="B389" s="87" t="s">
        <v>321</v>
      </c>
      <c r="C389" s="84">
        <v>13</v>
      </c>
      <c r="D389" s="87" t="s">
        <v>122</v>
      </c>
      <c r="E389" s="84" t="s">
        <v>349</v>
      </c>
      <c r="F389" s="84"/>
      <c r="G389" s="144">
        <f t="shared" si="25"/>
        <v>17.84</v>
      </c>
      <c r="H389" s="365">
        <f t="shared" si="25"/>
        <v>17.480000000000004</v>
      </c>
    </row>
    <row r="390" spans="1:13" x14ac:dyDescent="0.2">
      <c r="A390" s="83" t="s">
        <v>652</v>
      </c>
      <c r="B390" s="87" t="s">
        <v>321</v>
      </c>
      <c r="C390" s="84">
        <v>13</v>
      </c>
      <c r="D390" s="87" t="s">
        <v>122</v>
      </c>
      <c r="E390" s="84" t="s">
        <v>349</v>
      </c>
      <c r="F390" s="84">
        <v>700</v>
      </c>
      <c r="G390" s="144">
        <f t="shared" si="25"/>
        <v>17.84</v>
      </c>
      <c r="H390" s="365">
        <f t="shared" si="25"/>
        <v>17.480000000000004</v>
      </c>
    </row>
    <row r="391" spans="1:13" s="59" customFormat="1" ht="11.25" x14ac:dyDescent="0.2">
      <c r="A391" s="83" t="s">
        <v>351</v>
      </c>
      <c r="B391" s="87" t="s">
        <v>321</v>
      </c>
      <c r="C391" s="84">
        <v>13</v>
      </c>
      <c r="D391" s="87" t="s">
        <v>122</v>
      </c>
      <c r="E391" s="84" t="s">
        <v>349</v>
      </c>
      <c r="F391" s="84">
        <v>730</v>
      </c>
      <c r="G391" s="144">
        <f>20*89.2%</f>
        <v>17.84</v>
      </c>
      <c r="H391" s="365">
        <f>20*87.4%</f>
        <v>17.480000000000004</v>
      </c>
      <c r="I391" s="89"/>
      <c r="J391" s="89"/>
      <c r="K391" s="89"/>
      <c r="L391" s="89"/>
      <c r="M391" s="89"/>
    </row>
    <row r="392" spans="1:13" s="59" customFormat="1" ht="31.5" x14ac:dyDescent="0.2">
      <c r="A392" s="116" t="s">
        <v>352</v>
      </c>
      <c r="B392" s="99" t="s">
        <v>321</v>
      </c>
      <c r="C392" s="97" t="s">
        <v>353</v>
      </c>
      <c r="D392" s="99" t="s">
        <v>182</v>
      </c>
      <c r="E392" s="97" t="s">
        <v>183</v>
      </c>
      <c r="F392" s="97" t="s">
        <v>184</v>
      </c>
      <c r="G392" s="133">
        <f>G393+G403+G399</f>
        <v>12417.7996</v>
      </c>
      <c r="H392" s="347">
        <f>H393+H403+H399</f>
        <v>12167.216200000001</v>
      </c>
      <c r="I392" s="89"/>
      <c r="J392" s="89"/>
      <c r="K392" s="89"/>
      <c r="L392" s="89"/>
      <c r="M392" s="89"/>
    </row>
    <row r="393" spans="1:13" s="59" customFormat="1" ht="21" x14ac:dyDescent="0.2">
      <c r="A393" s="98" t="s">
        <v>354</v>
      </c>
      <c r="B393" s="99" t="s">
        <v>321</v>
      </c>
      <c r="C393" s="97" t="s">
        <v>353</v>
      </c>
      <c r="D393" s="99" t="s">
        <v>122</v>
      </c>
      <c r="E393" s="97" t="s">
        <v>183</v>
      </c>
      <c r="F393" s="97" t="s">
        <v>184</v>
      </c>
      <c r="G393" s="133">
        <f t="shared" ref="G393:H397" si="26">G394</f>
        <v>11731.9408</v>
      </c>
      <c r="H393" s="347">
        <f t="shared" si="26"/>
        <v>11495.197600000001</v>
      </c>
      <c r="I393" s="89"/>
      <c r="J393" s="89"/>
      <c r="K393" s="89"/>
      <c r="L393" s="89"/>
      <c r="M393" s="89"/>
    </row>
    <row r="394" spans="1:13" s="59" customFormat="1" ht="11.25" x14ac:dyDescent="0.2">
      <c r="A394" s="83" t="s">
        <v>355</v>
      </c>
      <c r="B394" s="87" t="s">
        <v>321</v>
      </c>
      <c r="C394" s="84" t="s">
        <v>353</v>
      </c>
      <c r="D394" s="87" t="s">
        <v>122</v>
      </c>
      <c r="E394" s="84" t="s">
        <v>356</v>
      </c>
      <c r="F394" s="84" t="s">
        <v>184</v>
      </c>
      <c r="G394" s="135">
        <f t="shared" si="26"/>
        <v>11731.9408</v>
      </c>
      <c r="H394" s="349">
        <f t="shared" si="26"/>
        <v>11495.197600000001</v>
      </c>
      <c r="I394" s="89"/>
      <c r="J394" s="89"/>
      <c r="K394" s="89"/>
      <c r="L394" s="89"/>
      <c r="M394" s="89"/>
    </row>
    <row r="395" spans="1:13" s="59" customFormat="1" ht="22.5" x14ac:dyDescent="0.2">
      <c r="A395" s="83" t="s">
        <v>357</v>
      </c>
      <c r="B395" s="87" t="s">
        <v>321</v>
      </c>
      <c r="C395" s="84" t="s">
        <v>353</v>
      </c>
      <c r="D395" s="87" t="s">
        <v>122</v>
      </c>
      <c r="E395" s="84" t="s">
        <v>358</v>
      </c>
      <c r="F395" s="84" t="s">
        <v>184</v>
      </c>
      <c r="G395" s="135">
        <f t="shared" si="26"/>
        <v>11731.9408</v>
      </c>
      <c r="H395" s="349">
        <f t="shared" si="26"/>
        <v>11495.197600000001</v>
      </c>
      <c r="I395" s="89"/>
      <c r="J395" s="89"/>
      <c r="K395" s="89"/>
      <c r="L395" s="89"/>
      <c r="M395" s="89"/>
    </row>
    <row r="396" spans="1:13" s="59" customFormat="1" ht="11.25" x14ac:dyDescent="0.2">
      <c r="A396" s="83" t="s">
        <v>337</v>
      </c>
      <c r="B396" s="87" t="s">
        <v>321</v>
      </c>
      <c r="C396" s="84" t="s">
        <v>353</v>
      </c>
      <c r="D396" s="87" t="s">
        <v>122</v>
      </c>
      <c r="E396" s="84" t="s">
        <v>358</v>
      </c>
      <c r="F396" s="84" t="s">
        <v>342</v>
      </c>
      <c r="G396" s="135">
        <f t="shared" si="26"/>
        <v>11731.9408</v>
      </c>
      <c r="H396" s="349">
        <f t="shared" si="26"/>
        <v>11495.197600000001</v>
      </c>
      <c r="I396" s="89"/>
      <c r="J396" s="89"/>
      <c r="K396" s="89"/>
      <c r="L396" s="89"/>
      <c r="M396" s="89"/>
    </row>
    <row r="397" spans="1:13" s="59" customFormat="1" ht="11.25" x14ac:dyDescent="0.2">
      <c r="A397" s="83" t="s">
        <v>359</v>
      </c>
      <c r="B397" s="87" t="s">
        <v>321</v>
      </c>
      <c r="C397" s="84" t="s">
        <v>353</v>
      </c>
      <c r="D397" s="87" t="s">
        <v>122</v>
      </c>
      <c r="E397" s="84" t="s">
        <v>358</v>
      </c>
      <c r="F397" s="84" t="s">
        <v>360</v>
      </c>
      <c r="G397" s="135">
        <f t="shared" si="26"/>
        <v>11731.9408</v>
      </c>
      <c r="H397" s="349">
        <f t="shared" si="26"/>
        <v>11495.197600000001</v>
      </c>
      <c r="I397" s="89"/>
      <c r="J397" s="89"/>
      <c r="K397" s="89"/>
      <c r="L397" s="89"/>
      <c r="M397" s="89"/>
    </row>
    <row r="398" spans="1:13" x14ac:dyDescent="0.2">
      <c r="A398" s="115" t="s">
        <v>361</v>
      </c>
      <c r="B398" s="87" t="s">
        <v>321</v>
      </c>
      <c r="C398" s="84" t="s">
        <v>353</v>
      </c>
      <c r="D398" s="87" t="s">
        <v>122</v>
      </c>
      <c r="E398" s="84" t="s">
        <v>358</v>
      </c>
      <c r="F398" s="84" t="s">
        <v>362</v>
      </c>
      <c r="G398" s="135">
        <f>13152.4*89.2%</f>
        <v>11731.9408</v>
      </c>
      <c r="H398" s="349">
        <f>13152.4*87.4%</f>
        <v>11495.197600000001</v>
      </c>
    </row>
    <row r="399" spans="1:13" x14ac:dyDescent="0.2">
      <c r="A399" s="98" t="s">
        <v>363</v>
      </c>
      <c r="B399" s="99" t="s">
        <v>321</v>
      </c>
      <c r="C399" s="97" t="s">
        <v>353</v>
      </c>
      <c r="D399" s="99" t="s">
        <v>254</v>
      </c>
      <c r="E399" s="97"/>
      <c r="F399" s="97"/>
      <c r="G399" s="133">
        <f t="shared" ref="G399:H401" si="27">G400</f>
        <v>624.4</v>
      </c>
      <c r="H399" s="347">
        <f t="shared" si="27"/>
        <v>611.80000000000007</v>
      </c>
    </row>
    <row r="400" spans="1:13" x14ac:dyDescent="0.2">
      <c r="A400" s="83" t="s">
        <v>337</v>
      </c>
      <c r="B400" s="87" t="s">
        <v>321</v>
      </c>
      <c r="C400" s="84" t="s">
        <v>353</v>
      </c>
      <c r="D400" s="87" t="s">
        <v>254</v>
      </c>
      <c r="E400" s="84" t="s">
        <v>356</v>
      </c>
      <c r="F400" s="84" t="s">
        <v>342</v>
      </c>
      <c r="G400" s="135">
        <f t="shared" si="27"/>
        <v>624.4</v>
      </c>
      <c r="H400" s="349">
        <f t="shared" si="27"/>
        <v>611.80000000000007</v>
      </c>
    </row>
    <row r="401" spans="1:10" x14ac:dyDescent="0.2">
      <c r="A401" s="83" t="s">
        <v>359</v>
      </c>
      <c r="B401" s="87" t="s">
        <v>321</v>
      </c>
      <c r="C401" s="84" t="s">
        <v>353</v>
      </c>
      <c r="D401" s="87" t="s">
        <v>254</v>
      </c>
      <c r="E401" s="84" t="s">
        <v>364</v>
      </c>
      <c r="F401" s="84" t="s">
        <v>360</v>
      </c>
      <c r="G401" s="135">
        <f t="shared" si="27"/>
        <v>624.4</v>
      </c>
      <c r="H401" s="349">
        <f t="shared" si="27"/>
        <v>611.80000000000007</v>
      </c>
    </row>
    <row r="402" spans="1:10" x14ac:dyDescent="0.2">
      <c r="A402" s="115" t="s">
        <v>363</v>
      </c>
      <c r="B402" s="87" t="s">
        <v>321</v>
      </c>
      <c r="C402" s="84" t="s">
        <v>353</v>
      </c>
      <c r="D402" s="87" t="s">
        <v>254</v>
      </c>
      <c r="E402" s="84" t="s">
        <v>364</v>
      </c>
      <c r="F402" s="84">
        <v>512</v>
      </c>
      <c r="G402" s="135">
        <f>700*89.2%</f>
        <v>624.4</v>
      </c>
      <c r="H402" s="349">
        <f>700*87.4%</f>
        <v>611.80000000000007</v>
      </c>
    </row>
    <row r="403" spans="1:10" x14ac:dyDescent="0.2">
      <c r="A403" s="98" t="s">
        <v>365</v>
      </c>
      <c r="B403" s="99" t="s">
        <v>321</v>
      </c>
      <c r="C403" s="97">
        <v>14</v>
      </c>
      <c r="D403" s="99" t="s">
        <v>188</v>
      </c>
      <c r="E403" s="97"/>
      <c r="F403" s="97"/>
      <c r="G403" s="133">
        <f t="shared" ref="G403:H408" si="28">+G404</f>
        <v>61.458800000000004</v>
      </c>
      <c r="H403" s="347">
        <f t="shared" si="28"/>
        <v>60.218600000000009</v>
      </c>
    </row>
    <row r="404" spans="1:10" x14ac:dyDescent="0.2">
      <c r="A404" s="83" t="s">
        <v>337</v>
      </c>
      <c r="B404" s="87" t="s">
        <v>321</v>
      </c>
      <c r="C404" s="84" t="s">
        <v>353</v>
      </c>
      <c r="D404" s="84" t="s">
        <v>188</v>
      </c>
      <c r="E404" s="84" t="s">
        <v>356</v>
      </c>
      <c r="F404" s="84" t="s">
        <v>184</v>
      </c>
      <c r="G404" s="135">
        <f t="shared" si="28"/>
        <v>61.458800000000004</v>
      </c>
      <c r="H404" s="349">
        <f t="shared" si="28"/>
        <v>60.218600000000009</v>
      </c>
    </row>
    <row r="405" spans="1:10" ht="33.75" x14ac:dyDescent="0.2">
      <c r="A405" s="83" t="s">
        <v>366</v>
      </c>
      <c r="B405" s="87" t="s">
        <v>321</v>
      </c>
      <c r="C405" s="84" t="s">
        <v>353</v>
      </c>
      <c r="D405" s="84" t="s">
        <v>188</v>
      </c>
      <c r="E405" s="84" t="s">
        <v>367</v>
      </c>
      <c r="F405" s="84" t="s">
        <v>184</v>
      </c>
      <c r="G405" s="135">
        <f t="shared" si="28"/>
        <v>61.458800000000004</v>
      </c>
      <c r="H405" s="349">
        <f t="shared" si="28"/>
        <v>60.218600000000009</v>
      </c>
    </row>
    <row r="406" spans="1:10" ht="56.25" x14ac:dyDescent="0.2">
      <c r="A406" s="83" t="s">
        <v>368</v>
      </c>
      <c r="B406" s="87" t="s">
        <v>321</v>
      </c>
      <c r="C406" s="84" t="s">
        <v>353</v>
      </c>
      <c r="D406" s="84" t="s">
        <v>188</v>
      </c>
      <c r="E406" s="84" t="s">
        <v>367</v>
      </c>
      <c r="F406" s="84" t="s">
        <v>184</v>
      </c>
      <c r="G406" s="135">
        <f t="shared" si="28"/>
        <v>61.458800000000004</v>
      </c>
      <c r="H406" s="349">
        <f t="shared" si="28"/>
        <v>60.218600000000009</v>
      </c>
    </row>
    <row r="407" spans="1:10" x14ac:dyDescent="0.2">
      <c r="A407" s="83" t="s">
        <v>337</v>
      </c>
      <c r="B407" s="87" t="s">
        <v>321</v>
      </c>
      <c r="C407" s="84" t="s">
        <v>353</v>
      </c>
      <c r="D407" s="84" t="s">
        <v>188</v>
      </c>
      <c r="E407" s="84" t="s">
        <v>367</v>
      </c>
      <c r="F407" s="84" t="s">
        <v>342</v>
      </c>
      <c r="G407" s="135">
        <f t="shared" si="28"/>
        <v>61.458800000000004</v>
      </c>
      <c r="H407" s="349">
        <f t="shared" si="28"/>
        <v>60.218600000000009</v>
      </c>
    </row>
    <row r="408" spans="1:10" x14ac:dyDescent="0.2">
      <c r="A408" s="83" t="s">
        <v>369</v>
      </c>
      <c r="B408" s="87" t="s">
        <v>321</v>
      </c>
      <c r="C408" s="84" t="s">
        <v>353</v>
      </c>
      <c r="D408" s="84" t="s">
        <v>188</v>
      </c>
      <c r="E408" s="84" t="s">
        <v>367</v>
      </c>
      <c r="F408" s="84" t="s">
        <v>370</v>
      </c>
      <c r="G408" s="135">
        <f t="shared" si="28"/>
        <v>61.458800000000004</v>
      </c>
      <c r="H408" s="349">
        <f t="shared" si="28"/>
        <v>60.218600000000009</v>
      </c>
    </row>
    <row r="409" spans="1:10" ht="22.5" x14ac:dyDescent="0.2">
      <c r="A409" s="115" t="s">
        <v>371</v>
      </c>
      <c r="B409" s="87" t="s">
        <v>321</v>
      </c>
      <c r="C409" s="84" t="s">
        <v>353</v>
      </c>
      <c r="D409" s="84" t="s">
        <v>188</v>
      </c>
      <c r="E409" s="84" t="s">
        <v>367</v>
      </c>
      <c r="F409" s="84" t="s">
        <v>372</v>
      </c>
      <c r="G409" s="135">
        <f>68.9*89.2%</f>
        <v>61.458800000000004</v>
      </c>
      <c r="H409" s="349">
        <f>68.9*87.4%</f>
        <v>60.218600000000009</v>
      </c>
    </row>
    <row r="410" spans="1:10" ht="21" x14ac:dyDescent="0.2">
      <c r="A410" s="179" t="s">
        <v>373</v>
      </c>
      <c r="B410" s="110" t="s">
        <v>374</v>
      </c>
      <c r="C410" s="109"/>
      <c r="D410" s="110"/>
      <c r="E410" s="109"/>
      <c r="F410" s="109"/>
      <c r="G410" s="180">
        <f>G411+G467+G478+G504+G545+G560+G578+G586+G603+G610</f>
        <v>25536.270400000001</v>
      </c>
      <c r="H410" s="360">
        <f>H411+H467+H478+H504+H545+H560+H578+H586+H603+H610</f>
        <v>25020.959200000001</v>
      </c>
      <c r="I410" s="232"/>
    </row>
    <row r="411" spans="1:10" x14ac:dyDescent="0.2">
      <c r="A411" s="98" t="s">
        <v>322</v>
      </c>
      <c r="B411" s="99" t="s">
        <v>374</v>
      </c>
      <c r="C411" s="97" t="s">
        <v>122</v>
      </c>
      <c r="D411" s="99" t="s">
        <v>182</v>
      </c>
      <c r="E411" s="97" t="s">
        <v>183</v>
      </c>
      <c r="F411" s="97" t="s">
        <v>184</v>
      </c>
      <c r="G411" s="133">
        <f>G412+G435+G440+G445</f>
        <v>16103.843599999998</v>
      </c>
      <c r="H411" s="347">
        <f>H412+H435+H440+H445</f>
        <v>15451.5946</v>
      </c>
      <c r="I411" s="220"/>
      <c r="J411" s="220"/>
    </row>
    <row r="412" spans="1:10" ht="31.5" x14ac:dyDescent="0.2">
      <c r="A412" s="98" t="s">
        <v>375</v>
      </c>
      <c r="B412" s="99" t="s">
        <v>374</v>
      </c>
      <c r="C412" s="97" t="s">
        <v>122</v>
      </c>
      <c r="D412" s="99" t="s">
        <v>160</v>
      </c>
      <c r="E412" s="97"/>
      <c r="F412" s="97"/>
      <c r="G412" s="133">
        <f>G418+G413</f>
        <v>15284.427599999999</v>
      </c>
      <c r="H412" s="347">
        <f>H418+H413</f>
        <v>14657.537200000001</v>
      </c>
      <c r="I412" s="148"/>
    </row>
    <row r="413" spans="1:10" x14ac:dyDescent="0.2">
      <c r="A413" s="114" t="s">
        <v>376</v>
      </c>
      <c r="B413" s="105" t="s">
        <v>374</v>
      </c>
      <c r="C413" s="84" t="s">
        <v>122</v>
      </c>
      <c r="D413" s="87" t="s">
        <v>160</v>
      </c>
      <c r="E413" s="84" t="s">
        <v>377</v>
      </c>
      <c r="F413" s="84" t="s">
        <v>184</v>
      </c>
      <c r="G413" s="135">
        <f>G414</f>
        <v>791.91759999999999</v>
      </c>
      <c r="H413" s="349">
        <f>H414</f>
        <v>775.93720000000008</v>
      </c>
    </row>
    <row r="414" spans="1:10" ht="33.75" x14ac:dyDescent="0.2">
      <c r="A414" s="83" t="s">
        <v>139</v>
      </c>
      <c r="B414" s="87" t="s">
        <v>374</v>
      </c>
      <c r="C414" s="84" t="s">
        <v>122</v>
      </c>
      <c r="D414" s="87" t="s">
        <v>160</v>
      </c>
      <c r="E414" s="84" t="s">
        <v>378</v>
      </c>
      <c r="F414" s="84" t="s">
        <v>140</v>
      </c>
      <c r="G414" s="135">
        <f>SUM(G415)</f>
        <v>791.91759999999999</v>
      </c>
      <c r="H414" s="349">
        <f>SUM(H415)</f>
        <v>775.93720000000008</v>
      </c>
    </row>
    <row r="415" spans="1:10" x14ac:dyDescent="0.2">
      <c r="A415" s="83" t="s">
        <v>168</v>
      </c>
      <c r="B415" s="105" t="s">
        <v>374</v>
      </c>
      <c r="C415" s="84" t="s">
        <v>122</v>
      </c>
      <c r="D415" s="87" t="s">
        <v>160</v>
      </c>
      <c r="E415" s="84" t="s">
        <v>378</v>
      </c>
      <c r="F415" s="84" t="s">
        <v>232</v>
      </c>
      <c r="G415" s="135">
        <f>SUM(G416:G417)</f>
        <v>791.91759999999999</v>
      </c>
      <c r="H415" s="349">
        <f>SUM(H416:H417)</f>
        <v>775.93720000000008</v>
      </c>
    </row>
    <row r="416" spans="1:10" x14ac:dyDescent="0.2">
      <c r="A416" s="114" t="s">
        <v>169</v>
      </c>
      <c r="B416" s="87" t="s">
        <v>374</v>
      </c>
      <c r="C416" s="84" t="s">
        <v>122</v>
      </c>
      <c r="D416" s="87" t="s">
        <v>160</v>
      </c>
      <c r="E416" s="84" t="s">
        <v>378</v>
      </c>
      <c r="F416" s="84" t="s">
        <v>233</v>
      </c>
      <c r="G416" s="135">
        <f>681.9*89.2%</f>
        <v>608.25480000000005</v>
      </c>
      <c r="H416" s="349">
        <f>681.9*87.4%</f>
        <v>595.98060000000009</v>
      </c>
      <c r="I416" s="156"/>
    </row>
    <row r="417" spans="1:9" ht="33.75" x14ac:dyDescent="0.2">
      <c r="A417" s="114" t="s">
        <v>170</v>
      </c>
      <c r="B417" s="87" t="s">
        <v>374</v>
      </c>
      <c r="C417" s="84" t="s">
        <v>122</v>
      </c>
      <c r="D417" s="87" t="s">
        <v>160</v>
      </c>
      <c r="E417" s="84" t="s">
        <v>378</v>
      </c>
      <c r="F417" s="84">
        <v>129</v>
      </c>
      <c r="G417" s="135">
        <f>205.9*89.2%</f>
        <v>183.6628</v>
      </c>
      <c r="H417" s="349">
        <f>205.9*87.4%</f>
        <v>179.95660000000004</v>
      </c>
    </row>
    <row r="418" spans="1:9" ht="22.5" x14ac:dyDescent="0.2">
      <c r="A418" s="83" t="s">
        <v>379</v>
      </c>
      <c r="B418" s="87" t="s">
        <v>374</v>
      </c>
      <c r="C418" s="84" t="s">
        <v>122</v>
      </c>
      <c r="D418" s="87" t="s">
        <v>160</v>
      </c>
      <c r="E418" s="84" t="s">
        <v>380</v>
      </c>
      <c r="F418" s="84" t="s">
        <v>184</v>
      </c>
      <c r="G418" s="135">
        <f>G419+G423+G426+G430</f>
        <v>14492.509999999998</v>
      </c>
      <c r="H418" s="349">
        <f>H419+H423+H426+H430</f>
        <v>13881.6</v>
      </c>
      <c r="I418" s="148"/>
    </row>
    <row r="419" spans="1:9" ht="33.75" x14ac:dyDescent="0.2">
      <c r="A419" s="83" t="s">
        <v>139</v>
      </c>
      <c r="B419" s="87" t="s">
        <v>374</v>
      </c>
      <c r="C419" s="84" t="s">
        <v>122</v>
      </c>
      <c r="D419" s="87" t="s">
        <v>160</v>
      </c>
      <c r="E419" s="84" t="s">
        <v>381</v>
      </c>
      <c r="F419" s="84" t="s">
        <v>140</v>
      </c>
      <c r="G419" s="135">
        <f>G420</f>
        <v>11065.0412</v>
      </c>
      <c r="H419" s="349">
        <f>H420</f>
        <v>10467.8364</v>
      </c>
    </row>
    <row r="420" spans="1:9" x14ac:dyDescent="0.2">
      <c r="A420" s="83" t="s">
        <v>168</v>
      </c>
      <c r="B420" s="105" t="s">
        <v>374</v>
      </c>
      <c r="C420" s="84" t="s">
        <v>122</v>
      </c>
      <c r="D420" s="87" t="s">
        <v>160</v>
      </c>
      <c r="E420" s="84" t="s">
        <v>381</v>
      </c>
      <c r="F420" s="84" t="s">
        <v>232</v>
      </c>
      <c r="G420" s="135">
        <f>G421+G422</f>
        <v>11065.0412</v>
      </c>
      <c r="H420" s="349">
        <f>H421+H422</f>
        <v>10467.8364</v>
      </c>
    </row>
    <row r="421" spans="1:9" x14ac:dyDescent="0.2">
      <c r="A421" s="114" t="s">
        <v>169</v>
      </c>
      <c r="B421" s="87" t="s">
        <v>374</v>
      </c>
      <c r="C421" s="84" t="s">
        <v>122</v>
      </c>
      <c r="D421" s="87" t="s">
        <v>160</v>
      </c>
      <c r="E421" s="84" t="s">
        <v>381</v>
      </c>
      <c r="F421" s="84" t="s">
        <v>233</v>
      </c>
      <c r="G421" s="135">
        <v>8216.35</v>
      </c>
      <c r="H421" s="349">
        <v>7676.63</v>
      </c>
    </row>
    <row r="422" spans="1:9" ht="33.75" x14ac:dyDescent="0.2">
      <c r="A422" s="114" t="s">
        <v>170</v>
      </c>
      <c r="B422" s="87" t="s">
        <v>374</v>
      </c>
      <c r="C422" s="84" t="s">
        <v>122</v>
      </c>
      <c r="D422" s="87" t="s">
        <v>160</v>
      </c>
      <c r="E422" s="84" t="s">
        <v>381</v>
      </c>
      <c r="F422" s="84">
        <v>129</v>
      </c>
      <c r="G422" s="135">
        <f>3193.6*89.2%</f>
        <v>2848.6911999999998</v>
      </c>
      <c r="H422" s="349">
        <f>3193.6*87.4%</f>
        <v>2791.2064000000005</v>
      </c>
    </row>
    <row r="423" spans="1:9" ht="33.75" x14ac:dyDescent="0.2">
      <c r="A423" s="83" t="s">
        <v>139</v>
      </c>
      <c r="B423" s="87" t="s">
        <v>374</v>
      </c>
      <c r="C423" s="84" t="s">
        <v>122</v>
      </c>
      <c r="D423" s="87" t="s">
        <v>160</v>
      </c>
      <c r="E423" s="84" t="s">
        <v>382</v>
      </c>
      <c r="F423" s="84">
        <v>100</v>
      </c>
      <c r="G423" s="135">
        <f>G424</f>
        <v>186.5172</v>
      </c>
      <c r="H423" s="349">
        <f>H424</f>
        <v>182.75340000000003</v>
      </c>
    </row>
    <row r="424" spans="1:9" x14ac:dyDescent="0.2">
      <c r="A424" s="83" t="s">
        <v>168</v>
      </c>
      <c r="B424" s="87" t="s">
        <v>374</v>
      </c>
      <c r="C424" s="84" t="s">
        <v>122</v>
      </c>
      <c r="D424" s="87" t="s">
        <v>160</v>
      </c>
      <c r="E424" s="84" t="s">
        <v>382</v>
      </c>
      <c r="F424" s="84">
        <v>120</v>
      </c>
      <c r="G424" s="135">
        <f>G425</f>
        <v>186.5172</v>
      </c>
      <c r="H424" s="349">
        <f>H425</f>
        <v>182.75340000000003</v>
      </c>
    </row>
    <row r="425" spans="1:9" ht="22.5" x14ac:dyDescent="0.2">
      <c r="A425" s="114" t="s">
        <v>293</v>
      </c>
      <c r="B425" s="87" t="s">
        <v>374</v>
      </c>
      <c r="C425" s="84" t="s">
        <v>122</v>
      </c>
      <c r="D425" s="87" t="s">
        <v>160</v>
      </c>
      <c r="E425" s="84" t="s">
        <v>382</v>
      </c>
      <c r="F425" s="84">
        <v>122</v>
      </c>
      <c r="G425" s="135">
        <f>209.1*89.2%</f>
        <v>186.5172</v>
      </c>
      <c r="H425" s="349">
        <f>209.1*87.4%</f>
        <v>182.75340000000003</v>
      </c>
    </row>
    <row r="426" spans="1:9" x14ac:dyDescent="0.2">
      <c r="A426" s="83" t="s">
        <v>650</v>
      </c>
      <c r="B426" s="87" t="s">
        <v>374</v>
      </c>
      <c r="C426" s="84" t="s">
        <v>122</v>
      </c>
      <c r="D426" s="87" t="s">
        <v>160</v>
      </c>
      <c r="E426" s="84" t="s">
        <v>382</v>
      </c>
      <c r="F426" s="84" t="s">
        <v>150</v>
      </c>
      <c r="G426" s="135">
        <f>G427</f>
        <v>3107.1516000000001</v>
      </c>
      <c r="H426" s="349">
        <f>H427</f>
        <v>3099.9102000000003</v>
      </c>
      <c r="I426" s="148"/>
    </row>
    <row r="427" spans="1:9" ht="22.5" x14ac:dyDescent="0.2">
      <c r="A427" s="83" t="s">
        <v>151</v>
      </c>
      <c r="B427" s="105" t="s">
        <v>374</v>
      </c>
      <c r="C427" s="84" t="s">
        <v>122</v>
      </c>
      <c r="D427" s="87" t="s">
        <v>160</v>
      </c>
      <c r="E427" s="84" t="s">
        <v>382</v>
      </c>
      <c r="F427" s="84" t="s">
        <v>152</v>
      </c>
      <c r="G427" s="135">
        <f>G429+G428</f>
        <v>3107.1516000000001</v>
      </c>
      <c r="H427" s="349">
        <f>H429+H428</f>
        <v>3099.9102000000003</v>
      </c>
    </row>
    <row r="428" spans="1:9" ht="22.5" x14ac:dyDescent="0.2">
      <c r="A428" s="115" t="s">
        <v>171</v>
      </c>
      <c r="B428" s="105" t="s">
        <v>374</v>
      </c>
      <c r="C428" s="84" t="s">
        <v>122</v>
      </c>
      <c r="D428" s="87" t="s">
        <v>160</v>
      </c>
      <c r="E428" s="84" t="s">
        <v>382</v>
      </c>
      <c r="F428" s="84">
        <v>242</v>
      </c>
      <c r="G428" s="135">
        <f>302.3*89.2%</f>
        <v>269.65160000000003</v>
      </c>
      <c r="H428" s="349">
        <f>302.3*87.4%</f>
        <v>264.21020000000004</v>
      </c>
    </row>
    <row r="429" spans="1:9" ht="22.5" x14ac:dyDescent="0.2">
      <c r="A429" s="115" t="s">
        <v>153</v>
      </c>
      <c r="B429" s="87" t="s">
        <v>374</v>
      </c>
      <c r="C429" s="84" t="s">
        <v>122</v>
      </c>
      <c r="D429" s="87" t="s">
        <v>160</v>
      </c>
      <c r="E429" s="84" t="s">
        <v>382</v>
      </c>
      <c r="F429" s="84" t="s">
        <v>154</v>
      </c>
      <c r="G429" s="135">
        <f>2048.3+700+100*89.2%</f>
        <v>2837.5</v>
      </c>
      <c r="H429" s="349">
        <f>2048.3+700+100*87.4%</f>
        <v>2835.7000000000003</v>
      </c>
      <c r="I429" s="148"/>
    </row>
    <row r="430" spans="1:9" x14ac:dyDescent="0.2">
      <c r="A430" s="115" t="s">
        <v>172</v>
      </c>
      <c r="B430" s="105" t="s">
        <v>374</v>
      </c>
      <c r="C430" s="84" t="s">
        <v>122</v>
      </c>
      <c r="D430" s="87" t="s">
        <v>160</v>
      </c>
      <c r="E430" s="84" t="s">
        <v>382</v>
      </c>
      <c r="F430" s="84" t="s">
        <v>235</v>
      </c>
      <c r="G430" s="135">
        <f>G431</f>
        <v>133.80000000000001</v>
      </c>
      <c r="H430" s="349">
        <f>H431</f>
        <v>131.10000000000002</v>
      </c>
    </row>
    <row r="431" spans="1:9" x14ac:dyDescent="0.2">
      <c r="A431" s="115" t="s">
        <v>173</v>
      </c>
      <c r="B431" s="87" t="s">
        <v>374</v>
      </c>
      <c r="C431" s="84" t="s">
        <v>122</v>
      </c>
      <c r="D431" s="87" t="s">
        <v>160</v>
      </c>
      <c r="E431" s="84" t="s">
        <v>382</v>
      </c>
      <c r="F431" s="84" t="s">
        <v>174</v>
      </c>
      <c r="G431" s="135">
        <f>G432+G433+G434</f>
        <v>133.80000000000001</v>
      </c>
      <c r="H431" s="349">
        <f>H432+H433+H434</f>
        <v>131.10000000000002</v>
      </c>
    </row>
    <row r="432" spans="1:9" x14ac:dyDescent="0.2">
      <c r="A432" s="75" t="s">
        <v>175</v>
      </c>
      <c r="B432" s="105" t="s">
        <v>374</v>
      </c>
      <c r="C432" s="84" t="s">
        <v>122</v>
      </c>
      <c r="D432" s="87" t="s">
        <v>160</v>
      </c>
      <c r="E432" s="84" t="s">
        <v>382</v>
      </c>
      <c r="F432" s="84" t="s">
        <v>176</v>
      </c>
      <c r="G432" s="135">
        <f>14.4*89.2%</f>
        <v>12.844800000000001</v>
      </c>
      <c r="H432" s="349">
        <f>14.4*87.4%</f>
        <v>12.585600000000001</v>
      </c>
    </row>
    <row r="433" spans="1:9" x14ac:dyDescent="0.2">
      <c r="A433" s="70" t="s">
        <v>236</v>
      </c>
      <c r="B433" s="105" t="s">
        <v>374</v>
      </c>
      <c r="C433" s="84" t="s">
        <v>122</v>
      </c>
      <c r="D433" s="87" t="s">
        <v>160</v>
      </c>
      <c r="E433" s="84" t="s">
        <v>382</v>
      </c>
      <c r="F433" s="84">
        <v>852</v>
      </c>
      <c r="G433" s="135">
        <f>3*89.2%</f>
        <v>2.6760000000000002</v>
      </c>
      <c r="H433" s="349">
        <f>3*87.4%</f>
        <v>2.6220000000000003</v>
      </c>
    </row>
    <row r="434" spans="1:9" x14ac:dyDescent="0.2">
      <c r="A434" s="70" t="s">
        <v>564</v>
      </c>
      <c r="B434" s="105" t="s">
        <v>374</v>
      </c>
      <c r="C434" s="84" t="s">
        <v>122</v>
      </c>
      <c r="D434" s="87" t="s">
        <v>160</v>
      </c>
      <c r="E434" s="84" t="s">
        <v>382</v>
      </c>
      <c r="F434" s="84">
        <v>853</v>
      </c>
      <c r="G434" s="135">
        <f>132.6*89.2%</f>
        <v>118.2792</v>
      </c>
      <c r="H434" s="349">
        <f>132.6*87.4%</f>
        <v>115.89240000000001</v>
      </c>
    </row>
    <row r="435" spans="1:9" x14ac:dyDescent="0.2">
      <c r="A435" s="61" t="s">
        <v>569</v>
      </c>
      <c r="B435" s="223" t="s">
        <v>374</v>
      </c>
      <c r="C435" s="96" t="s">
        <v>122</v>
      </c>
      <c r="D435" s="94" t="s">
        <v>286</v>
      </c>
      <c r="E435" s="96"/>
      <c r="F435" s="96"/>
      <c r="G435" s="133">
        <f t="shared" ref="G435:H438" si="29">G436</f>
        <v>181</v>
      </c>
      <c r="H435" s="347">
        <f t="shared" si="29"/>
        <v>159.15540000000001</v>
      </c>
      <c r="I435" s="148"/>
    </row>
    <row r="436" spans="1:9" ht="33.75" x14ac:dyDescent="0.2">
      <c r="A436" s="312" t="s">
        <v>657</v>
      </c>
      <c r="B436" s="313" t="s">
        <v>374</v>
      </c>
      <c r="C436" s="306" t="s">
        <v>122</v>
      </c>
      <c r="D436" s="305" t="s">
        <v>286</v>
      </c>
      <c r="E436" s="306" t="s">
        <v>570</v>
      </c>
      <c r="F436" s="306"/>
      <c r="G436" s="309">
        <f t="shared" si="29"/>
        <v>181</v>
      </c>
      <c r="H436" s="350">
        <f t="shared" si="29"/>
        <v>159.15540000000001</v>
      </c>
    </row>
    <row r="437" spans="1:9" x14ac:dyDescent="0.2">
      <c r="A437" s="83" t="s">
        <v>650</v>
      </c>
      <c r="B437" s="224" t="s">
        <v>374</v>
      </c>
      <c r="C437" s="68" t="s">
        <v>122</v>
      </c>
      <c r="D437" s="67" t="s">
        <v>286</v>
      </c>
      <c r="E437" s="68" t="s">
        <v>570</v>
      </c>
      <c r="F437" s="68" t="s">
        <v>150</v>
      </c>
      <c r="G437" s="135">
        <f t="shared" si="29"/>
        <v>181</v>
      </c>
      <c r="H437" s="349">
        <f t="shared" si="29"/>
        <v>159.15540000000001</v>
      </c>
    </row>
    <row r="438" spans="1:9" ht="22.5" x14ac:dyDescent="0.2">
      <c r="A438" s="83" t="s">
        <v>151</v>
      </c>
      <c r="B438" s="225" t="s">
        <v>374</v>
      </c>
      <c r="C438" s="68" t="s">
        <v>122</v>
      </c>
      <c r="D438" s="67" t="s">
        <v>286</v>
      </c>
      <c r="E438" s="68" t="s">
        <v>570</v>
      </c>
      <c r="F438" s="68" t="s">
        <v>152</v>
      </c>
      <c r="G438" s="135">
        <f t="shared" si="29"/>
        <v>181</v>
      </c>
      <c r="H438" s="349">
        <f t="shared" si="29"/>
        <v>159.15540000000001</v>
      </c>
    </row>
    <row r="439" spans="1:9" ht="22.5" x14ac:dyDescent="0.2">
      <c r="A439" s="115" t="s">
        <v>153</v>
      </c>
      <c r="B439" s="224" t="s">
        <v>374</v>
      </c>
      <c r="C439" s="68" t="s">
        <v>122</v>
      </c>
      <c r="D439" s="67" t="s">
        <v>286</v>
      </c>
      <c r="E439" s="68" t="s">
        <v>570</v>
      </c>
      <c r="F439" s="68" t="s">
        <v>154</v>
      </c>
      <c r="G439" s="135">
        <v>181</v>
      </c>
      <c r="H439" s="349">
        <f>182.1*87.4%</f>
        <v>159.15540000000001</v>
      </c>
    </row>
    <row r="440" spans="1:9" x14ac:dyDescent="0.2">
      <c r="A440" s="212" t="s">
        <v>654</v>
      </c>
      <c r="B440" s="99" t="s">
        <v>374</v>
      </c>
      <c r="C440" s="97" t="s">
        <v>122</v>
      </c>
      <c r="D440" s="99" t="s">
        <v>471</v>
      </c>
      <c r="E440" s="84" t="s">
        <v>666</v>
      </c>
      <c r="F440" s="68"/>
      <c r="G440" s="135">
        <f t="shared" ref="G440:H443" si="30">G441</f>
        <v>178.4</v>
      </c>
      <c r="H440" s="349">
        <f t="shared" si="30"/>
        <v>174.8</v>
      </c>
    </row>
    <row r="441" spans="1:9" x14ac:dyDescent="0.2">
      <c r="A441" s="70" t="s">
        <v>667</v>
      </c>
      <c r="B441" s="224" t="s">
        <v>374</v>
      </c>
      <c r="C441" s="68" t="s">
        <v>122</v>
      </c>
      <c r="D441" s="67" t="s">
        <v>471</v>
      </c>
      <c r="E441" s="84" t="s">
        <v>666</v>
      </c>
      <c r="F441" s="68"/>
      <c r="G441" s="135">
        <f t="shared" si="30"/>
        <v>178.4</v>
      </c>
      <c r="H441" s="349">
        <f t="shared" si="30"/>
        <v>174.8</v>
      </c>
    </row>
    <row r="442" spans="1:9" x14ac:dyDescent="0.2">
      <c r="A442" s="83" t="s">
        <v>650</v>
      </c>
      <c r="B442" s="224" t="s">
        <v>374</v>
      </c>
      <c r="C442" s="68" t="s">
        <v>122</v>
      </c>
      <c r="D442" s="67" t="s">
        <v>471</v>
      </c>
      <c r="E442" s="84" t="s">
        <v>666</v>
      </c>
      <c r="F442" s="84">
        <v>800</v>
      </c>
      <c r="G442" s="135">
        <f t="shared" si="30"/>
        <v>178.4</v>
      </c>
      <c r="H442" s="349">
        <f t="shared" si="30"/>
        <v>174.8</v>
      </c>
    </row>
    <row r="443" spans="1:9" ht="22.5" x14ac:dyDescent="0.2">
      <c r="A443" s="83" t="s">
        <v>151</v>
      </c>
      <c r="B443" s="224" t="s">
        <v>374</v>
      </c>
      <c r="C443" s="68" t="s">
        <v>122</v>
      </c>
      <c r="D443" s="67" t="s">
        <v>471</v>
      </c>
      <c r="E443" s="84" t="s">
        <v>666</v>
      </c>
      <c r="F443" s="84">
        <v>800</v>
      </c>
      <c r="G443" s="135">
        <f t="shared" si="30"/>
        <v>178.4</v>
      </c>
      <c r="H443" s="349">
        <f t="shared" si="30"/>
        <v>174.8</v>
      </c>
    </row>
    <row r="444" spans="1:9" ht="22.5" x14ac:dyDescent="0.2">
      <c r="A444" s="115" t="s">
        <v>153</v>
      </c>
      <c r="B444" s="224" t="s">
        <v>374</v>
      </c>
      <c r="C444" s="68" t="s">
        <v>122</v>
      </c>
      <c r="D444" s="67" t="s">
        <v>471</v>
      </c>
      <c r="E444" s="84" t="s">
        <v>666</v>
      </c>
      <c r="F444" s="68">
        <v>870</v>
      </c>
      <c r="G444" s="135">
        <f>200*89.2%</f>
        <v>178.4</v>
      </c>
      <c r="H444" s="349">
        <f>200*87.4%</f>
        <v>174.8</v>
      </c>
    </row>
    <row r="445" spans="1:9" x14ac:dyDescent="0.2">
      <c r="A445" s="98" t="s">
        <v>333</v>
      </c>
      <c r="B445" s="99" t="s">
        <v>374</v>
      </c>
      <c r="C445" s="97" t="s">
        <v>122</v>
      </c>
      <c r="D445" s="99" t="s">
        <v>334</v>
      </c>
      <c r="E445" s="97"/>
      <c r="F445" s="97"/>
      <c r="G445" s="133">
        <f>G455+G459+G446+G451</f>
        <v>460.01599999999996</v>
      </c>
      <c r="H445" s="347">
        <f>H455+H459+H446+H451</f>
        <v>460.10199999999998</v>
      </c>
      <c r="I445" s="148"/>
    </row>
    <row r="446" spans="1:9" ht="33.75" x14ac:dyDescent="0.2">
      <c r="A446" s="83" t="s">
        <v>383</v>
      </c>
      <c r="B446" s="87" t="s">
        <v>374</v>
      </c>
      <c r="C446" s="84" t="s">
        <v>122</v>
      </c>
      <c r="D446" s="87" t="s">
        <v>334</v>
      </c>
      <c r="E446" s="84" t="s">
        <v>384</v>
      </c>
      <c r="F446" s="84"/>
      <c r="G446" s="135">
        <f t="shared" ref="G446:H449" si="31">G447</f>
        <v>35.68</v>
      </c>
      <c r="H446" s="349">
        <f t="shared" si="31"/>
        <v>34.960000000000008</v>
      </c>
    </row>
    <row r="447" spans="1:9" ht="33.75" x14ac:dyDescent="0.2">
      <c r="A447" s="83" t="s">
        <v>385</v>
      </c>
      <c r="B447" s="87" t="s">
        <v>374</v>
      </c>
      <c r="C447" s="84" t="s">
        <v>122</v>
      </c>
      <c r="D447" s="87" t="s">
        <v>334</v>
      </c>
      <c r="E447" s="84" t="s">
        <v>386</v>
      </c>
      <c r="F447" s="84"/>
      <c r="G447" s="135">
        <f t="shared" si="31"/>
        <v>35.68</v>
      </c>
      <c r="H447" s="349">
        <f t="shared" si="31"/>
        <v>34.960000000000008</v>
      </c>
    </row>
    <row r="448" spans="1:9" x14ac:dyDescent="0.2">
      <c r="A448" s="83" t="s">
        <v>650</v>
      </c>
      <c r="B448" s="87" t="s">
        <v>374</v>
      </c>
      <c r="C448" s="84" t="s">
        <v>122</v>
      </c>
      <c r="D448" s="87" t="s">
        <v>334</v>
      </c>
      <c r="E448" s="84" t="s">
        <v>386</v>
      </c>
      <c r="F448" s="84" t="s">
        <v>150</v>
      </c>
      <c r="G448" s="135">
        <f t="shared" si="31"/>
        <v>35.68</v>
      </c>
      <c r="H448" s="349">
        <f t="shared" si="31"/>
        <v>34.960000000000008</v>
      </c>
    </row>
    <row r="449" spans="1:15" ht="22.5" x14ac:dyDescent="0.2">
      <c r="A449" s="83" t="s">
        <v>151</v>
      </c>
      <c r="B449" s="87" t="s">
        <v>374</v>
      </c>
      <c r="C449" s="84" t="s">
        <v>122</v>
      </c>
      <c r="D449" s="87" t="s">
        <v>334</v>
      </c>
      <c r="E449" s="84" t="s">
        <v>386</v>
      </c>
      <c r="F449" s="84" t="s">
        <v>152</v>
      </c>
      <c r="G449" s="135">
        <f t="shared" si="31"/>
        <v>35.68</v>
      </c>
      <c r="H449" s="349">
        <f t="shared" si="31"/>
        <v>34.960000000000008</v>
      </c>
    </row>
    <row r="450" spans="1:15" ht="22.5" x14ac:dyDescent="0.2">
      <c r="A450" s="115" t="s">
        <v>153</v>
      </c>
      <c r="B450" s="87" t="s">
        <v>374</v>
      </c>
      <c r="C450" s="84" t="s">
        <v>122</v>
      </c>
      <c r="D450" s="87" t="s">
        <v>334</v>
      </c>
      <c r="E450" s="84" t="s">
        <v>386</v>
      </c>
      <c r="F450" s="84" t="s">
        <v>154</v>
      </c>
      <c r="G450" s="135">
        <f>40*89.2%</f>
        <v>35.68</v>
      </c>
      <c r="H450" s="349">
        <f>40*87.4%</f>
        <v>34.960000000000008</v>
      </c>
    </row>
    <row r="451" spans="1:15" x14ac:dyDescent="0.2">
      <c r="A451" s="88" t="s">
        <v>387</v>
      </c>
      <c r="B451" s="87" t="s">
        <v>374</v>
      </c>
      <c r="C451" s="84" t="s">
        <v>122</v>
      </c>
      <c r="D451" s="87" t="s">
        <v>334</v>
      </c>
      <c r="E451" s="84" t="s">
        <v>388</v>
      </c>
      <c r="F451" s="84"/>
      <c r="G451" s="135">
        <f t="shared" ref="G451:H453" si="32">G452</f>
        <v>74.036000000000001</v>
      </c>
      <c r="H451" s="349">
        <f t="shared" si="32"/>
        <v>72.542000000000016</v>
      </c>
    </row>
    <row r="452" spans="1:15" x14ac:dyDescent="0.2">
      <c r="A452" s="83" t="s">
        <v>650</v>
      </c>
      <c r="B452" s="87" t="s">
        <v>374</v>
      </c>
      <c r="C452" s="84" t="s">
        <v>122</v>
      </c>
      <c r="D452" s="87" t="s">
        <v>334</v>
      </c>
      <c r="E452" s="84" t="s">
        <v>388</v>
      </c>
      <c r="F452" s="84" t="s">
        <v>150</v>
      </c>
      <c r="G452" s="135">
        <f t="shared" si="32"/>
        <v>74.036000000000001</v>
      </c>
      <c r="H452" s="349">
        <f t="shared" si="32"/>
        <v>72.542000000000016</v>
      </c>
    </row>
    <row r="453" spans="1:15" ht="22.5" x14ac:dyDescent="0.2">
      <c r="A453" s="83" t="s">
        <v>151</v>
      </c>
      <c r="B453" s="87" t="s">
        <v>374</v>
      </c>
      <c r="C453" s="84" t="s">
        <v>122</v>
      </c>
      <c r="D453" s="87" t="s">
        <v>334</v>
      </c>
      <c r="E453" s="84" t="s">
        <v>388</v>
      </c>
      <c r="F453" s="84" t="s">
        <v>152</v>
      </c>
      <c r="G453" s="135">
        <f t="shared" si="32"/>
        <v>74.036000000000001</v>
      </c>
      <c r="H453" s="349">
        <f t="shared" si="32"/>
        <v>72.542000000000016</v>
      </c>
    </row>
    <row r="454" spans="1:15" ht="22.5" x14ac:dyDescent="0.2">
      <c r="A454" s="115" t="s">
        <v>153</v>
      </c>
      <c r="B454" s="87" t="s">
        <v>374</v>
      </c>
      <c r="C454" s="84" t="s">
        <v>122</v>
      </c>
      <c r="D454" s="87" t="s">
        <v>334</v>
      </c>
      <c r="E454" s="84" t="s">
        <v>388</v>
      </c>
      <c r="F454" s="84" t="s">
        <v>154</v>
      </c>
      <c r="G454" s="135">
        <f>83*89.2%</f>
        <v>74.036000000000001</v>
      </c>
      <c r="H454" s="349">
        <f>83*87.4%</f>
        <v>72.542000000000016</v>
      </c>
    </row>
    <row r="455" spans="1:15" ht="22.5" x14ac:dyDescent="0.2">
      <c r="A455" s="310" t="s">
        <v>76</v>
      </c>
      <c r="B455" s="311" t="s">
        <v>374</v>
      </c>
      <c r="C455" s="230" t="s">
        <v>122</v>
      </c>
      <c r="D455" s="311" t="s">
        <v>334</v>
      </c>
      <c r="E455" s="230" t="s">
        <v>336</v>
      </c>
      <c r="F455" s="230"/>
      <c r="G455" s="309">
        <f>G457</f>
        <v>0.9</v>
      </c>
      <c r="H455" s="350">
        <f>H457</f>
        <v>0.9</v>
      </c>
    </row>
    <row r="456" spans="1:15" x14ac:dyDescent="0.2">
      <c r="A456" s="83" t="s">
        <v>650</v>
      </c>
      <c r="B456" s="87" t="s">
        <v>374</v>
      </c>
      <c r="C456" s="84" t="s">
        <v>122</v>
      </c>
      <c r="D456" s="87" t="s">
        <v>334</v>
      </c>
      <c r="E456" s="84" t="s">
        <v>336</v>
      </c>
      <c r="F456" s="84">
        <v>200</v>
      </c>
      <c r="G456" s="135">
        <f>G457</f>
        <v>0.9</v>
      </c>
      <c r="H456" s="349">
        <f>H457</f>
        <v>0.9</v>
      </c>
    </row>
    <row r="457" spans="1:15" ht="22.5" x14ac:dyDescent="0.2">
      <c r="A457" s="83" t="s">
        <v>151</v>
      </c>
      <c r="B457" s="87" t="s">
        <v>374</v>
      </c>
      <c r="C457" s="84" t="s">
        <v>122</v>
      </c>
      <c r="D457" s="87" t="s">
        <v>334</v>
      </c>
      <c r="E457" s="84" t="s">
        <v>336</v>
      </c>
      <c r="F457" s="84">
        <v>240</v>
      </c>
      <c r="G457" s="135">
        <f>G458</f>
        <v>0.9</v>
      </c>
      <c r="H457" s="349">
        <f>H458</f>
        <v>0.9</v>
      </c>
    </row>
    <row r="458" spans="1:15" ht="22.5" x14ac:dyDescent="0.2">
      <c r="A458" s="115" t="s">
        <v>153</v>
      </c>
      <c r="B458" s="87" t="s">
        <v>374</v>
      </c>
      <c r="C458" s="84" t="s">
        <v>122</v>
      </c>
      <c r="D458" s="87" t="s">
        <v>334</v>
      </c>
      <c r="E458" s="84" t="s">
        <v>336</v>
      </c>
      <c r="F458" s="84">
        <v>244</v>
      </c>
      <c r="G458" s="135">
        <v>0.9</v>
      </c>
      <c r="H458" s="349">
        <v>0.9</v>
      </c>
    </row>
    <row r="459" spans="1:15" ht="33.75" x14ac:dyDescent="0.2">
      <c r="A459" s="325" t="s">
        <v>660</v>
      </c>
      <c r="B459" s="320" t="s">
        <v>374</v>
      </c>
      <c r="C459" s="321" t="s">
        <v>122</v>
      </c>
      <c r="D459" s="320" t="s">
        <v>334</v>
      </c>
      <c r="E459" s="321" t="s">
        <v>389</v>
      </c>
      <c r="F459" s="321" t="s">
        <v>184</v>
      </c>
      <c r="G459" s="322">
        <f>G460+G465</f>
        <v>349.4</v>
      </c>
      <c r="H459" s="366">
        <f>H460+H465</f>
        <v>351.7</v>
      </c>
    </row>
    <row r="460" spans="1:15" ht="33.75" x14ac:dyDescent="0.2">
      <c r="A460" s="83" t="s">
        <v>139</v>
      </c>
      <c r="B460" s="87" t="s">
        <v>374</v>
      </c>
      <c r="C460" s="84" t="s">
        <v>122</v>
      </c>
      <c r="D460" s="87" t="s">
        <v>334</v>
      </c>
      <c r="E460" s="84" t="s">
        <v>389</v>
      </c>
      <c r="F460" s="84" t="s">
        <v>140</v>
      </c>
      <c r="G460" s="135">
        <f>G461</f>
        <v>325.5</v>
      </c>
      <c r="H460" s="349">
        <f>H461</f>
        <v>325.5</v>
      </c>
    </row>
    <row r="461" spans="1:15" x14ac:dyDescent="0.2">
      <c r="A461" s="83" t="s">
        <v>168</v>
      </c>
      <c r="B461" s="87" t="s">
        <v>374</v>
      </c>
      <c r="C461" s="84" t="s">
        <v>122</v>
      </c>
      <c r="D461" s="87" t="s">
        <v>334</v>
      </c>
      <c r="E461" s="84" t="s">
        <v>389</v>
      </c>
      <c r="F461" s="84" t="s">
        <v>232</v>
      </c>
      <c r="G461" s="135">
        <f>G462+G463</f>
        <v>325.5</v>
      </c>
      <c r="H461" s="349">
        <f>H462+H463</f>
        <v>325.5</v>
      </c>
    </row>
    <row r="462" spans="1:15" s="59" customFormat="1" ht="11.25" x14ac:dyDescent="0.2">
      <c r="A462" s="114" t="s">
        <v>169</v>
      </c>
      <c r="B462" s="87" t="s">
        <v>374</v>
      </c>
      <c r="C462" s="84" t="s">
        <v>122</v>
      </c>
      <c r="D462" s="87" t="s">
        <v>334</v>
      </c>
      <c r="E462" s="84" t="s">
        <v>389</v>
      </c>
      <c r="F462" s="84" t="s">
        <v>233</v>
      </c>
      <c r="G462" s="349">
        <v>250</v>
      </c>
      <c r="H462" s="349">
        <v>250</v>
      </c>
      <c r="I462" s="58"/>
      <c r="J462" s="57"/>
      <c r="K462" s="58"/>
      <c r="L462" s="57"/>
      <c r="M462" s="57"/>
      <c r="N462" s="65"/>
      <c r="O462" s="89"/>
    </row>
    <row r="463" spans="1:15" s="59" customFormat="1" ht="33.75" x14ac:dyDescent="0.2">
      <c r="A463" s="114" t="s">
        <v>170</v>
      </c>
      <c r="B463" s="87" t="s">
        <v>374</v>
      </c>
      <c r="C463" s="84" t="s">
        <v>122</v>
      </c>
      <c r="D463" s="87" t="s">
        <v>334</v>
      </c>
      <c r="E463" s="84" t="s">
        <v>389</v>
      </c>
      <c r="F463" s="84">
        <v>129</v>
      </c>
      <c r="G463" s="349">
        <v>75.5</v>
      </c>
      <c r="H463" s="349">
        <v>75.5</v>
      </c>
      <c r="I463" s="58"/>
      <c r="J463" s="57"/>
      <c r="K463" s="58"/>
      <c r="L463" s="57"/>
      <c r="M463" s="57"/>
      <c r="N463" s="65"/>
      <c r="O463" s="89"/>
    </row>
    <row r="464" spans="1:15" s="59" customFormat="1" ht="11.25" x14ac:dyDescent="0.2">
      <c r="A464" s="83" t="s">
        <v>650</v>
      </c>
      <c r="B464" s="87" t="s">
        <v>374</v>
      </c>
      <c r="C464" s="84" t="s">
        <v>122</v>
      </c>
      <c r="D464" s="87" t="s">
        <v>334</v>
      </c>
      <c r="E464" s="84" t="s">
        <v>389</v>
      </c>
      <c r="F464" s="84">
        <v>200</v>
      </c>
      <c r="G464" s="135">
        <f>G465</f>
        <v>23.9</v>
      </c>
      <c r="H464" s="349">
        <f>H465</f>
        <v>26.2</v>
      </c>
      <c r="I464" s="58"/>
      <c r="J464" s="57"/>
      <c r="K464" s="58"/>
      <c r="L464" s="57"/>
      <c r="M464" s="57"/>
      <c r="N464" s="65"/>
      <c r="O464" s="89"/>
    </row>
    <row r="465" spans="1:15" ht="22.5" x14ac:dyDescent="0.2">
      <c r="A465" s="83" t="s">
        <v>151</v>
      </c>
      <c r="B465" s="87" t="s">
        <v>374</v>
      </c>
      <c r="C465" s="84" t="s">
        <v>122</v>
      </c>
      <c r="D465" s="87" t="s">
        <v>334</v>
      </c>
      <c r="E465" s="84" t="s">
        <v>389</v>
      </c>
      <c r="F465" s="84" t="s">
        <v>152</v>
      </c>
      <c r="G465" s="135">
        <f>G466</f>
        <v>23.9</v>
      </c>
      <c r="H465" s="349">
        <f>H466</f>
        <v>26.2</v>
      </c>
      <c r="I465" s="126"/>
      <c r="J465" s="57"/>
      <c r="K465" s="58"/>
      <c r="L465" s="57"/>
      <c r="M465" s="57"/>
      <c r="N465" s="65"/>
      <c r="O465" s="90"/>
    </row>
    <row r="466" spans="1:15" ht="22.5" x14ac:dyDescent="0.2">
      <c r="A466" s="115" t="s">
        <v>153</v>
      </c>
      <c r="B466" s="87" t="s">
        <v>374</v>
      </c>
      <c r="C466" s="84" t="s">
        <v>122</v>
      </c>
      <c r="D466" s="87" t="s">
        <v>334</v>
      </c>
      <c r="E466" s="84" t="s">
        <v>389</v>
      </c>
      <c r="F466" s="84" t="s">
        <v>154</v>
      </c>
      <c r="G466" s="135">
        <v>23.9</v>
      </c>
      <c r="H466" s="349">
        <v>26.2</v>
      </c>
    </row>
    <row r="467" spans="1:15" x14ac:dyDescent="0.2">
      <c r="A467" s="98" t="s">
        <v>339</v>
      </c>
      <c r="B467" s="99" t="s">
        <v>374</v>
      </c>
      <c r="C467" s="99" t="s">
        <v>254</v>
      </c>
      <c r="D467" s="99"/>
      <c r="E467" s="97"/>
      <c r="F467" s="97"/>
      <c r="G467" s="133">
        <f t="shared" ref="G467:H469" si="33">G468</f>
        <v>173.60000000000002</v>
      </c>
      <c r="H467" s="347">
        <f t="shared" si="33"/>
        <v>174.60000000000002</v>
      </c>
      <c r="I467" s="148"/>
    </row>
    <row r="468" spans="1:15" x14ac:dyDescent="0.2">
      <c r="A468" s="98" t="s">
        <v>340</v>
      </c>
      <c r="B468" s="99" t="s">
        <v>374</v>
      </c>
      <c r="C468" s="99" t="s">
        <v>254</v>
      </c>
      <c r="D468" s="99" t="s">
        <v>188</v>
      </c>
      <c r="E468" s="99"/>
      <c r="F468" s="87"/>
      <c r="G468" s="133">
        <f t="shared" si="33"/>
        <v>173.60000000000002</v>
      </c>
      <c r="H468" s="347">
        <f t="shared" si="33"/>
        <v>174.60000000000002</v>
      </c>
    </row>
    <row r="469" spans="1:15" x14ac:dyDescent="0.2">
      <c r="A469" s="83" t="s">
        <v>155</v>
      </c>
      <c r="B469" s="87" t="s">
        <v>374</v>
      </c>
      <c r="C469" s="87" t="s">
        <v>254</v>
      </c>
      <c r="D469" s="87" t="s">
        <v>188</v>
      </c>
      <c r="E469" s="120" t="s">
        <v>335</v>
      </c>
      <c r="F469" s="84"/>
      <c r="G469" s="135">
        <f t="shared" si="33"/>
        <v>173.60000000000002</v>
      </c>
      <c r="H469" s="349">
        <f t="shared" si="33"/>
        <v>174.60000000000002</v>
      </c>
    </row>
    <row r="470" spans="1:15" ht="56.25" x14ac:dyDescent="0.2">
      <c r="A470" s="319" t="s">
        <v>390</v>
      </c>
      <c r="B470" s="320" t="s">
        <v>374</v>
      </c>
      <c r="C470" s="320" t="s">
        <v>254</v>
      </c>
      <c r="D470" s="320" t="s">
        <v>188</v>
      </c>
      <c r="E470" s="320" t="s">
        <v>341</v>
      </c>
      <c r="F470" s="321"/>
      <c r="G470" s="322">
        <f>G471+G475</f>
        <v>173.60000000000002</v>
      </c>
      <c r="H470" s="366">
        <f>H471+H475</f>
        <v>174.60000000000002</v>
      </c>
    </row>
    <row r="471" spans="1:15" s="59" customFormat="1" ht="33.75" x14ac:dyDescent="0.2">
      <c r="A471" s="83" t="s">
        <v>139</v>
      </c>
      <c r="B471" s="87" t="s">
        <v>374</v>
      </c>
      <c r="C471" s="87" t="s">
        <v>254</v>
      </c>
      <c r="D471" s="87" t="s">
        <v>188</v>
      </c>
      <c r="E471" s="87" t="s">
        <v>341</v>
      </c>
      <c r="F471" s="84" t="s">
        <v>140</v>
      </c>
      <c r="G471" s="135">
        <f>G472</f>
        <v>169.3</v>
      </c>
      <c r="H471" s="349">
        <f>H472</f>
        <v>169.3</v>
      </c>
      <c r="I471" s="89"/>
      <c r="J471" s="89"/>
      <c r="K471" s="89"/>
      <c r="L471" s="89"/>
      <c r="M471" s="89"/>
    </row>
    <row r="472" spans="1:15" s="59" customFormat="1" ht="11.25" x14ac:dyDescent="0.2">
      <c r="A472" s="83" t="s">
        <v>141</v>
      </c>
      <c r="B472" s="87" t="s">
        <v>374</v>
      </c>
      <c r="C472" s="87" t="s">
        <v>254</v>
      </c>
      <c r="D472" s="87" t="s">
        <v>188</v>
      </c>
      <c r="E472" s="87" t="s">
        <v>341</v>
      </c>
      <c r="F472" s="84">
        <v>110</v>
      </c>
      <c r="G472" s="135">
        <f>G473+G474</f>
        <v>169.3</v>
      </c>
      <c r="H472" s="349">
        <f>H473+H474</f>
        <v>169.3</v>
      </c>
      <c r="I472" s="89"/>
      <c r="J472" s="89"/>
      <c r="K472" s="89"/>
      <c r="L472" s="89"/>
      <c r="M472" s="89"/>
    </row>
    <row r="473" spans="1:15" x14ac:dyDescent="0.2">
      <c r="A473" s="83" t="s">
        <v>142</v>
      </c>
      <c r="B473" s="87" t="s">
        <v>374</v>
      </c>
      <c r="C473" s="87" t="s">
        <v>254</v>
      </c>
      <c r="D473" s="87" t="s">
        <v>188</v>
      </c>
      <c r="E473" s="87" t="s">
        <v>341</v>
      </c>
      <c r="F473" s="84">
        <v>111</v>
      </c>
      <c r="G473" s="135">
        <v>130</v>
      </c>
      <c r="H473" s="135">
        <v>130</v>
      </c>
      <c r="I473" s="148"/>
    </row>
    <row r="474" spans="1:15" ht="22.5" x14ac:dyDescent="0.2">
      <c r="A474" s="114" t="s">
        <v>143</v>
      </c>
      <c r="B474" s="87" t="s">
        <v>374</v>
      </c>
      <c r="C474" s="87" t="s">
        <v>254</v>
      </c>
      <c r="D474" s="87" t="s">
        <v>188</v>
      </c>
      <c r="E474" s="87" t="s">
        <v>341</v>
      </c>
      <c r="F474" s="84">
        <v>119</v>
      </c>
      <c r="G474" s="135">
        <v>39.299999999999997</v>
      </c>
      <c r="H474" s="135">
        <v>39.299999999999997</v>
      </c>
    </row>
    <row r="475" spans="1:15" x14ac:dyDescent="0.2">
      <c r="A475" s="83" t="s">
        <v>650</v>
      </c>
      <c r="B475" s="87" t="s">
        <v>374</v>
      </c>
      <c r="C475" s="87" t="s">
        <v>254</v>
      </c>
      <c r="D475" s="87" t="s">
        <v>188</v>
      </c>
      <c r="E475" s="87" t="s">
        <v>341</v>
      </c>
      <c r="F475" s="84">
        <v>200</v>
      </c>
      <c r="G475" s="135">
        <f>G476</f>
        <v>4.3</v>
      </c>
      <c r="H475" s="349">
        <f>H476</f>
        <v>5.3</v>
      </c>
    </row>
    <row r="476" spans="1:15" s="59" customFormat="1" ht="22.5" x14ac:dyDescent="0.2">
      <c r="A476" s="83" t="s">
        <v>151</v>
      </c>
      <c r="B476" s="87" t="s">
        <v>374</v>
      </c>
      <c r="C476" s="87" t="s">
        <v>254</v>
      </c>
      <c r="D476" s="87" t="s">
        <v>188</v>
      </c>
      <c r="E476" s="87" t="s">
        <v>341</v>
      </c>
      <c r="F476" s="84" t="s">
        <v>152</v>
      </c>
      <c r="G476" s="135">
        <f>G477</f>
        <v>4.3</v>
      </c>
      <c r="H476" s="349">
        <f>H477</f>
        <v>5.3</v>
      </c>
      <c r="I476" s="157"/>
      <c r="J476" s="89"/>
      <c r="K476" s="89"/>
      <c r="L476" s="89"/>
      <c r="M476" s="89"/>
    </row>
    <row r="477" spans="1:15" ht="22.5" x14ac:dyDescent="0.2">
      <c r="A477" s="115" t="s">
        <v>153</v>
      </c>
      <c r="B477" s="87" t="s">
        <v>374</v>
      </c>
      <c r="C477" s="87" t="s">
        <v>254</v>
      </c>
      <c r="D477" s="87" t="s">
        <v>188</v>
      </c>
      <c r="E477" s="87" t="s">
        <v>341</v>
      </c>
      <c r="F477" s="84" t="s">
        <v>154</v>
      </c>
      <c r="G477" s="135">
        <v>4.3</v>
      </c>
      <c r="H477" s="349">
        <v>5.3</v>
      </c>
    </row>
    <row r="478" spans="1:15" ht="21" x14ac:dyDescent="0.2">
      <c r="A478" s="98" t="s">
        <v>391</v>
      </c>
      <c r="B478" s="106" t="s">
        <v>374</v>
      </c>
      <c r="C478" s="97" t="s">
        <v>188</v>
      </c>
      <c r="D478" s="99" t="s">
        <v>182</v>
      </c>
      <c r="E478" s="97" t="s">
        <v>183</v>
      </c>
      <c r="F478" s="97" t="s">
        <v>184</v>
      </c>
      <c r="G478" s="133">
        <f>G479+G494</f>
        <v>1392.5148000000002</v>
      </c>
      <c r="H478" s="347">
        <f>H479+H494</f>
        <v>1368.4506000000001</v>
      </c>
      <c r="I478" s="148"/>
    </row>
    <row r="479" spans="1:15" ht="21" x14ac:dyDescent="0.2">
      <c r="A479" s="98" t="s">
        <v>392</v>
      </c>
      <c r="B479" s="106" t="s">
        <v>374</v>
      </c>
      <c r="C479" s="97" t="s">
        <v>188</v>
      </c>
      <c r="D479" s="99" t="s">
        <v>262</v>
      </c>
      <c r="E479" s="97"/>
      <c r="F479" s="97"/>
      <c r="G479" s="133">
        <f>G480+G489</f>
        <v>1276.5548000000001</v>
      </c>
      <c r="H479" s="347">
        <f>H480+H489</f>
        <v>1254.8306000000002</v>
      </c>
      <c r="I479" s="148"/>
    </row>
    <row r="480" spans="1:15" x14ac:dyDescent="0.2">
      <c r="A480" s="114" t="s">
        <v>393</v>
      </c>
      <c r="B480" s="87" t="s">
        <v>374</v>
      </c>
      <c r="C480" s="84" t="s">
        <v>188</v>
      </c>
      <c r="D480" s="87" t="s">
        <v>262</v>
      </c>
      <c r="E480" s="84" t="s">
        <v>394</v>
      </c>
      <c r="F480" s="84"/>
      <c r="G480" s="135">
        <f>G481+G485</f>
        <v>987.35480000000007</v>
      </c>
      <c r="H480" s="349">
        <f>H481+H485</f>
        <v>967.43060000000014</v>
      </c>
    </row>
    <row r="481" spans="1:13" ht="33.75" x14ac:dyDescent="0.2">
      <c r="A481" s="83" t="s">
        <v>139</v>
      </c>
      <c r="B481" s="87" t="s">
        <v>374</v>
      </c>
      <c r="C481" s="84" t="s">
        <v>188</v>
      </c>
      <c r="D481" s="87" t="s">
        <v>262</v>
      </c>
      <c r="E481" s="84" t="s">
        <v>394</v>
      </c>
      <c r="F481" s="84" t="s">
        <v>140</v>
      </c>
      <c r="G481" s="135">
        <f>G482</f>
        <v>898.15480000000002</v>
      </c>
      <c r="H481" s="349">
        <f>H482</f>
        <v>880.03060000000016</v>
      </c>
    </row>
    <row r="482" spans="1:13" s="59" customFormat="1" ht="11.25" x14ac:dyDescent="0.2">
      <c r="A482" s="83" t="s">
        <v>141</v>
      </c>
      <c r="B482" s="87" t="s">
        <v>374</v>
      </c>
      <c r="C482" s="84" t="s">
        <v>188</v>
      </c>
      <c r="D482" s="87" t="s">
        <v>262</v>
      </c>
      <c r="E482" s="84" t="s">
        <v>394</v>
      </c>
      <c r="F482" s="84">
        <v>110</v>
      </c>
      <c r="G482" s="135">
        <f>G483+G484</f>
        <v>898.15480000000002</v>
      </c>
      <c r="H482" s="349">
        <f>H483+H484</f>
        <v>880.03060000000016</v>
      </c>
      <c r="I482" s="89"/>
      <c r="J482" s="89"/>
      <c r="K482" s="89"/>
      <c r="L482" s="89"/>
      <c r="M482" s="89"/>
    </row>
    <row r="483" spans="1:13" s="59" customFormat="1" ht="11.25" x14ac:dyDescent="0.2">
      <c r="A483" s="83" t="s">
        <v>142</v>
      </c>
      <c r="B483" s="87" t="s">
        <v>374</v>
      </c>
      <c r="C483" s="84" t="s">
        <v>188</v>
      </c>
      <c r="D483" s="87" t="s">
        <v>262</v>
      </c>
      <c r="E483" s="84" t="s">
        <v>394</v>
      </c>
      <c r="F483" s="84">
        <v>111</v>
      </c>
      <c r="G483" s="135">
        <f>773.4*89.2%</f>
        <v>689.87279999999998</v>
      </c>
      <c r="H483" s="349">
        <f>773.4*87.4%</f>
        <v>675.9516000000001</v>
      </c>
      <c r="I483" s="89"/>
      <c r="J483" s="89"/>
      <c r="K483" s="89"/>
      <c r="L483" s="89"/>
      <c r="M483" s="89"/>
    </row>
    <row r="484" spans="1:13" s="59" customFormat="1" ht="22.5" x14ac:dyDescent="0.2">
      <c r="A484" s="114" t="s">
        <v>143</v>
      </c>
      <c r="B484" s="87" t="s">
        <v>374</v>
      </c>
      <c r="C484" s="84" t="s">
        <v>188</v>
      </c>
      <c r="D484" s="87" t="s">
        <v>262</v>
      </c>
      <c r="E484" s="84" t="s">
        <v>394</v>
      </c>
      <c r="F484" s="84">
        <v>119</v>
      </c>
      <c r="G484" s="135">
        <f>233.5*89.2%</f>
        <v>208.28200000000001</v>
      </c>
      <c r="H484" s="349">
        <f>233.5*87.4%</f>
        <v>204.07900000000004</v>
      </c>
      <c r="I484" s="89"/>
      <c r="J484" s="89"/>
      <c r="K484" s="89"/>
      <c r="L484" s="89"/>
      <c r="M484" s="89"/>
    </row>
    <row r="485" spans="1:13" s="59" customFormat="1" ht="11.25" x14ac:dyDescent="0.2">
      <c r="A485" s="83" t="s">
        <v>650</v>
      </c>
      <c r="B485" s="87" t="s">
        <v>374</v>
      </c>
      <c r="C485" s="84" t="s">
        <v>188</v>
      </c>
      <c r="D485" s="87" t="s">
        <v>262</v>
      </c>
      <c r="E485" s="84" t="s">
        <v>394</v>
      </c>
      <c r="F485" s="84">
        <v>200</v>
      </c>
      <c r="G485" s="135">
        <f>G486</f>
        <v>89.2</v>
      </c>
      <c r="H485" s="349">
        <f>H486</f>
        <v>87.4</v>
      </c>
      <c r="I485" s="89"/>
      <c r="J485" s="89"/>
      <c r="K485" s="89"/>
      <c r="L485" s="89"/>
      <c r="M485" s="89"/>
    </row>
    <row r="486" spans="1:13" s="59" customFormat="1" ht="22.5" x14ac:dyDescent="0.2">
      <c r="A486" s="83" t="s">
        <v>151</v>
      </c>
      <c r="B486" s="87" t="s">
        <v>374</v>
      </c>
      <c r="C486" s="84" t="s">
        <v>188</v>
      </c>
      <c r="D486" s="87" t="s">
        <v>262</v>
      </c>
      <c r="E486" s="84" t="s">
        <v>394</v>
      </c>
      <c r="F486" s="84">
        <v>240</v>
      </c>
      <c r="G486" s="135">
        <f>G487+G488</f>
        <v>89.2</v>
      </c>
      <c r="H486" s="349">
        <f>H487+H488</f>
        <v>87.4</v>
      </c>
      <c r="I486" s="89"/>
      <c r="J486" s="89"/>
      <c r="K486" s="89"/>
      <c r="L486" s="89"/>
      <c r="M486" s="89"/>
    </row>
    <row r="487" spans="1:13" s="59" customFormat="1" ht="22.5" x14ac:dyDescent="0.2">
      <c r="A487" s="115" t="s">
        <v>171</v>
      </c>
      <c r="B487" s="87" t="s">
        <v>374</v>
      </c>
      <c r="C487" s="84" t="s">
        <v>188</v>
      </c>
      <c r="D487" s="87" t="s">
        <v>262</v>
      </c>
      <c r="E487" s="84" t="s">
        <v>394</v>
      </c>
      <c r="F487" s="84">
        <v>242</v>
      </c>
      <c r="G487" s="135">
        <f>80.8*89.2%</f>
        <v>72.073599999999999</v>
      </c>
      <c r="H487" s="349">
        <f>80.8*87.4%</f>
        <v>70.619200000000006</v>
      </c>
      <c r="I487" s="89"/>
      <c r="J487" s="89"/>
      <c r="K487" s="89"/>
      <c r="L487" s="89"/>
      <c r="M487" s="89"/>
    </row>
    <row r="488" spans="1:13" s="59" customFormat="1" ht="22.5" x14ac:dyDescent="0.2">
      <c r="A488" s="115" t="s">
        <v>153</v>
      </c>
      <c r="B488" s="87" t="s">
        <v>374</v>
      </c>
      <c r="C488" s="84" t="s">
        <v>188</v>
      </c>
      <c r="D488" s="87" t="s">
        <v>262</v>
      </c>
      <c r="E488" s="84" t="s">
        <v>394</v>
      </c>
      <c r="F488" s="84">
        <v>244</v>
      </c>
      <c r="G488" s="135">
        <f>19.2*89.2%</f>
        <v>17.1264</v>
      </c>
      <c r="H488" s="349">
        <f>19.2*87.4%</f>
        <v>16.780800000000003</v>
      </c>
      <c r="I488" s="89"/>
      <c r="J488" s="89"/>
      <c r="K488" s="89"/>
      <c r="L488" s="89"/>
      <c r="M488" s="89"/>
    </row>
    <row r="489" spans="1:13" s="59" customFormat="1" ht="33.75" x14ac:dyDescent="0.2">
      <c r="A489" s="114" t="s">
        <v>395</v>
      </c>
      <c r="B489" s="87" t="s">
        <v>374</v>
      </c>
      <c r="C489" s="84" t="s">
        <v>188</v>
      </c>
      <c r="D489" s="87" t="s">
        <v>262</v>
      </c>
      <c r="E489" s="84" t="s">
        <v>396</v>
      </c>
      <c r="F489" s="84"/>
      <c r="G489" s="135">
        <f t="shared" ref="G489:H492" si="34">G490</f>
        <v>289.2</v>
      </c>
      <c r="H489" s="349">
        <f t="shared" si="34"/>
        <v>287.39999999999998</v>
      </c>
      <c r="I489" s="89"/>
      <c r="J489" s="89"/>
      <c r="K489" s="89"/>
      <c r="L489" s="89"/>
      <c r="M489" s="89"/>
    </row>
    <row r="490" spans="1:13" s="59" customFormat="1" ht="33.75" x14ac:dyDescent="0.2">
      <c r="A490" s="114" t="s">
        <v>397</v>
      </c>
      <c r="B490" s="87" t="s">
        <v>374</v>
      </c>
      <c r="C490" s="84" t="s">
        <v>188</v>
      </c>
      <c r="D490" s="87" t="s">
        <v>262</v>
      </c>
      <c r="E490" s="84" t="s">
        <v>398</v>
      </c>
      <c r="F490" s="84"/>
      <c r="G490" s="135">
        <f t="shared" si="34"/>
        <v>289.2</v>
      </c>
      <c r="H490" s="349">
        <f t="shared" si="34"/>
        <v>287.39999999999998</v>
      </c>
      <c r="I490" s="89"/>
      <c r="J490" s="89"/>
      <c r="K490" s="89"/>
      <c r="L490" s="89"/>
      <c r="M490" s="89"/>
    </row>
    <row r="491" spans="1:13" s="59" customFormat="1" ht="11.25" x14ac:dyDescent="0.2">
      <c r="A491" s="83" t="s">
        <v>650</v>
      </c>
      <c r="B491" s="87" t="s">
        <v>374</v>
      </c>
      <c r="C491" s="84" t="s">
        <v>188</v>
      </c>
      <c r="D491" s="87" t="s">
        <v>262</v>
      </c>
      <c r="E491" s="84" t="s">
        <v>398</v>
      </c>
      <c r="F491" s="84">
        <v>200</v>
      </c>
      <c r="G491" s="135">
        <f t="shared" si="34"/>
        <v>289.2</v>
      </c>
      <c r="H491" s="349">
        <f t="shared" si="34"/>
        <v>287.39999999999998</v>
      </c>
      <c r="I491" s="89"/>
      <c r="J491" s="89"/>
      <c r="K491" s="89"/>
      <c r="L491" s="89"/>
      <c r="M491" s="89"/>
    </row>
    <row r="492" spans="1:13" s="59" customFormat="1" ht="22.5" x14ac:dyDescent="0.2">
      <c r="A492" s="83" t="s">
        <v>151</v>
      </c>
      <c r="B492" s="87" t="s">
        <v>374</v>
      </c>
      <c r="C492" s="84" t="s">
        <v>188</v>
      </c>
      <c r="D492" s="87" t="s">
        <v>262</v>
      </c>
      <c r="E492" s="84" t="s">
        <v>398</v>
      </c>
      <c r="F492" s="84">
        <v>240</v>
      </c>
      <c r="G492" s="135">
        <f t="shared" si="34"/>
        <v>289.2</v>
      </c>
      <c r="H492" s="349">
        <f t="shared" si="34"/>
        <v>287.39999999999998</v>
      </c>
      <c r="I492" s="89"/>
      <c r="J492" s="89"/>
      <c r="K492" s="89"/>
      <c r="L492" s="89"/>
      <c r="M492" s="89"/>
    </row>
    <row r="493" spans="1:13" s="59" customFormat="1" ht="22.5" x14ac:dyDescent="0.2">
      <c r="A493" s="115" t="s">
        <v>153</v>
      </c>
      <c r="B493" s="87" t="s">
        <v>374</v>
      </c>
      <c r="C493" s="84" t="s">
        <v>188</v>
      </c>
      <c r="D493" s="87" t="s">
        <v>262</v>
      </c>
      <c r="E493" s="84" t="s">
        <v>398</v>
      </c>
      <c r="F493" s="84">
        <v>244</v>
      </c>
      <c r="G493" s="135">
        <f>200+100*89.2%</f>
        <v>289.2</v>
      </c>
      <c r="H493" s="349">
        <f>200+100*87.4%</f>
        <v>287.39999999999998</v>
      </c>
      <c r="I493" s="89"/>
      <c r="J493" s="89"/>
      <c r="K493" s="89"/>
      <c r="L493" s="89"/>
      <c r="M493" s="89"/>
    </row>
    <row r="494" spans="1:13" s="59" customFormat="1" ht="21" x14ac:dyDescent="0.2">
      <c r="A494" s="98" t="s">
        <v>399</v>
      </c>
      <c r="B494" s="99" t="s">
        <v>374</v>
      </c>
      <c r="C494" s="97" t="s">
        <v>188</v>
      </c>
      <c r="D494" s="99" t="s">
        <v>353</v>
      </c>
      <c r="E494" s="97" t="s">
        <v>183</v>
      </c>
      <c r="F494" s="97" t="s">
        <v>184</v>
      </c>
      <c r="G494" s="133">
        <f>G495</f>
        <v>115.96000000000001</v>
      </c>
      <c r="H494" s="347">
        <f>H495</f>
        <v>113.62</v>
      </c>
      <c r="I494" s="157"/>
      <c r="J494" s="89"/>
      <c r="K494" s="89"/>
      <c r="L494" s="89"/>
      <c r="M494" s="89"/>
    </row>
    <row r="495" spans="1:13" s="59" customFormat="1" ht="31.5" x14ac:dyDescent="0.2">
      <c r="A495" s="98" t="s">
        <v>400</v>
      </c>
      <c r="B495" s="106" t="s">
        <v>374</v>
      </c>
      <c r="C495" s="97" t="s">
        <v>188</v>
      </c>
      <c r="D495" s="99" t="s">
        <v>353</v>
      </c>
      <c r="E495" s="97" t="s">
        <v>401</v>
      </c>
      <c r="F495" s="97" t="s">
        <v>184</v>
      </c>
      <c r="G495" s="133">
        <f>G496+G500</f>
        <v>115.96000000000001</v>
      </c>
      <c r="H495" s="347">
        <f>H496+H500</f>
        <v>113.62</v>
      </c>
      <c r="I495" s="89"/>
      <c r="J495" s="89"/>
      <c r="K495" s="89"/>
      <c r="L495" s="89"/>
      <c r="M495" s="89"/>
    </row>
    <row r="496" spans="1:13" s="59" customFormat="1" ht="22.5" x14ac:dyDescent="0.2">
      <c r="A496" s="100" t="s">
        <v>402</v>
      </c>
      <c r="B496" s="104" t="s">
        <v>374</v>
      </c>
      <c r="C496" s="102" t="s">
        <v>188</v>
      </c>
      <c r="D496" s="102" t="s">
        <v>353</v>
      </c>
      <c r="E496" s="102" t="s">
        <v>403</v>
      </c>
      <c r="F496" s="102" t="s">
        <v>184</v>
      </c>
      <c r="G496" s="134">
        <f t="shared" ref="G496:H498" si="35">+G497</f>
        <v>89.2</v>
      </c>
      <c r="H496" s="348">
        <f t="shared" si="35"/>
        <v>87.4</v>
      </c>
      <c r="I496" s="89"/>
      <c r="J496" s="89"/>
      <c r="K496" s="89"/>
      <c r="L496" s="89"/>
      <c r="M496" s="89"/>
    </row>
    <row r="497" spans="1:14" x14ac:dyDescent="0.2">
      <c r="A497" s="83" t="s">
        <v>650</v>
      </c>
      <c r="B497" s="105" t="s">
        <v>374</v>
      </c>
      <c r="C497" s="84" t="s">
        <v>188</v>
      </c>
      <c r="D497" s="84" t="s">
        <v>353</v>
      </c>
      <c r="E497" s="84" t="s">
        <v>403</v>
      </c>
      <c r="F497" s="84" t="s">
        <v>150</v>
      </c>
      <c r="G497" s="135">
        <f t="shared" si="35"/>
        <v>89.2</v>
      </c>
      <c r="H497" s="349">
        <f t="shared" si="35"/>
        <v>87.4</v>
      </c>
    </row>
    <row r="498" spans="1:14" ht="22.5" x14ac:dyDescent="0.2">
      <c r="A498" s="83" t="s">
        <v>151</v>
      </c>
      <c r="B498" s="87" t="s">
        <v>374</v>
      </c>
      <c r="C498" s="84" t="s">
        <v>188</v>
      </c>
      <c r="D498" s="84" t="s">
        <v>353</v>
      </c>
      <c r="E498" s="84" t="s">
        <v>403</v>
      </c>
      <c r="F498" s="84" t="s">
        <v>152</v>
      </c>
      <c r="G498" s="135">
        <f t="shared" si="35"/>
        <v>89.2</v>
      </c>
      <c r="H498" s="349">
        <f t="shared" si="35"/>
        <v>87.4</v>
      </c>
    </row>
    <row r="499" spans="1:14" ht="22.5" x14ac:dyDescent="0.2">
      <c r="A499" s="115" t="s">
        <v>153</v>
      </c>
      <c r="B499" s="105" t="s">
        <v>374</v>
      </c>
      <c r="C499" s="84" t="s">
        <v>188</v>
      </c>
      <c r="D499" s="84" t="s">
        <v>353</v>
      </c>
      <c r="E499" s="84" t="s">
        <v>403</v>
      </c>
      <c r="F499" s="84" t="s">
        <v>154</v>
      </c>
      <c r="G499" s="135">
        <f>100*89.2%</f>
        <v>89.2</v>
      </c>
      <c r="H499" s="349">
        <f>100*87.4%</f>
        <v>87.4</v>
      </c>
      <c r="I499" s="148"/>
    </row>
    <row r="500" spans="1:14" ht="22.5" x14ac:dyDescent="0.2">
      <c r="A500" s="100" t="s">
        <v>404</v>
      </c>
      <c r="B500" s="104" t="s">
        <v>374</v>
      </c>
      <c r="C500" s="102" t="s">
        <v>188</v>
      </c>
      <c r="D500" s="102" t="s">
        <v>353</v>
      </c>
      <c r="E500" s="102" t="s">
        <v>405</v>
      </c>
      <c r="F500" s="102" t="s">
        <v>184</v>
      </c>
      <c r="G500" s="134">
        <f t="shared" ref="G500:H502" si="36">+G501</f>
        <v>26.76</v>
      </c>
      <c r="H500" s="348">
        <f t="shared" si="36"/>
        <v>26.220000000000002</v>
      </c>
      <c r="I500" s="148"/>
    </row>
    <row r="501" spans="1:14" x14ac:dyDescent="0.2">
      <c r="A501" s="83" t="s">
        <v>650</v>
      </c>
      <c r="B501" s="105" t="s">
        <v>374</v>
      </c>
      <c r="C501" s="84" t="s">
        <v>188</v>
      </c>
      <c r="D501" s="84" t="s">
        <v>353</v>
      </c>
      <c r="E501" s="84" t="s">
        <v>405</v>
      </c>
      <c r="F501" s="84" t="s">
        <v>150</v>
      </c>
      <c r="G501" s="135">
        <f t="shared" si="36"/>
        <v>26.76</v>
      </c>
      <c r="H501" s="349">
        <f t="shared" si="36"/>
        <v>26.220000000000002</v>
      </c>
    </row>
    <row r="502" spans="1:14" ht="22.5" x14ac:dyDescent="0.2">
      <c r="A502" s="83" t="s">
        <v>151</v>
      </c>
      <c r="B502" s="87" t="s">
        <v>374</v>
      </c>
      <c r="C502" s="84" t="s">
        <v>188</v>
      </c>
      <c r="D502" s="84" t="s">
        <v>353</v>
      </c>
      <c r="E502" s="84" t="s">
        <v>405</v>
      </c>
      <c r="F502" s="84" t="s">
        <v>152</v>
      </c>
      <c r="G502" s="135">
        <f t="shared" si="36"/>
        <v>26.76</v>
      </c>
      <c r="H502" s="349">
        <f t="shared" si="36"/>
        <v>26.220000000000002</v>
      </c>
    </row>
    <row r="503" spans="1:14" ht="22.5" x14ac:dyDescent="0.2">
      <c r="A503" s="115" t="s">
        <v>153</v>
      </c>
      <c r="B503" s="105" t="s">
        <v>374</v>
      </c>
      <c r="C503" s="84" t="s">
        <v>188</v>
      </c>
      <c r="D503" s="84" t="s">
        <v>353</v>
      </c>
      <c r="E503" s="84" t="s">
        <v>405</v>
      </c>
      <c r="F503" s="84" t="s">
        <v>154</v>
      </c>
      <c r="G503" s="135">
        <f>30*89.2%</f>
        <v>26.76</v>
      </c>
      <c r="H503" s="349">
        <f>30*87.4%</f>
        <v>26.220000000000002</v>
      </c>
      <c r="I503" s="148"/>
    </row>
    <row r="504" spans="1:14" x14ac:dyDescent="0.2">
      <c r="A504" s="98" t="s">
        <v>406</v>
      </c>
      <c r="B504" s="99" t="s">
        <v>374</v>
      </c>
      <c r="C504" s="97" t="s">
        <v>160</v>
      </c>
      <c r="D504" s="99"/>
      <c r="E504" s="97"/>
      <c r="F504" s="97"/>
      <c r="G504" s="133">
        <f>G505+G511</f>
        <v>5073.6120000000001</v>
      </c>
      <c r="H504" s="347">
        <f>H505+H511</f>
        <v>5279.7139999999999</v>
      </c>
      <c r="I504" s="148"/>
    </row>
    <row r="505" spans="1:14" x14ac:dyDescent="0.2">
      <c r="A505" s="116" t="s">
        <v>407</v>
      </c>
      <c r="B505" s="106" t="s">
        <v>374</v>
      </c>
      <c r="C505" s="99" t="s">
        <v>160</v>
      </c>
      <c r="D505" s="99" t="s">
        <v>262</v>
      </c>
      <c r="E505" s="97"/>
      <c r="F505" s="97"/>
      <c r="G505" s="133">
        <f t="shared" ref="G505:H509" si="37">G506</f>
        <v>4284</v>
      </c>
      <c r="H505" s="347">
        <f t="shared" si="37"/>
        <v>4502</v>
      </c>
    </row>
    <row r="506" spans="1:14" ht="31.5" x14ac:dyDescent="0.2">
      <c r="A506" s="98" t="s">
        <v>408</v>
      </c>
      <c r="B506" s="106" t="s">
        <v>374</v>
      </c>
      <c r="C506" s="99" t="s">
        <v>160</v>
      </c>
      <c r="D506" s="99" t="s">
        <v>262</v>
      </c>
      <c r="E506" s="97" t="s">
        <v>409</v>
      </c>
      <c r="F506" s="97"/>
      <c r="G506" s="133">
        <f t="shared" si="37"/>
        <v>4284</v>
      </c>
      <c r="H506" s="347">
        <f t="shared" si="37"/>
        <v>4502</v>
      </c>
    </row>
    <row r="507" spans="1:14" ht="123.75" x14ac:dyDescent="0.2">
      <c r="A507" s="114" t="s">
        <v>410</v>
      </c>
      <c r="B507" s="105" t="s">
        <v>374</v>
      </c>
      <c r="C507" s="87" t="s">
        <v>160</v>
      </c>
      <c r="D507" s="87" t="s">
        <v>262</v>
      </c>
      <c r="E507" s="84" t="s">
        <v>409</v>
      </c>
      <c r="F507" s="84"/>
      <c r="G507" s="135">
        <f t="shared" si="37"/>
        <v>4284</v>
      </c>
      <c r="H507" s="349">
        <f t="shared" si="37"/>
        <v>4502</v>
      </c>
    </row>
    <row r="508" spans="1:14" x14ac:dyDescent="0.2">
      <c r="A508" s="83" t="s">
        <v>650</v>
      </c>
      <c r="B508" s="105" t="s">
        <v>374</v>
      </c>
      <c r="C508" s="87" t="s">
        <v>160</v>
      </c>
      <c r="D508" s="87" t="s">
        <v>262</v>
      </c>
      <c r="E508" s="84" t="s">
        <v>409</v>
      </c>
      <c r="F508" s="84" t="s">
        <v>150</v>
      </c>
      <c r="G508" s="135">
        <f t="shared" si="37"/>
        <v>4284</v>
      </c>
      <c r="H508" s="349">
        <f t="shared" si="37"/>
        <v>4502</v>
      </c>
    </row>
    <row r="509" spans="1:14" ht="22.5" x14ac:dyDescent="0.2">
      <c r="A509" s="83" t="s">
        <v>151</v>
      </c>
      <c r="B509" s="105" t="s">
        <v>374</v>
      </c>
      <c r="C509" s="87" t="s">
        <v>160</v>
      </c>
      <c r="D509" s="87" t="s">
        <v>262</v>
      </c>
      <c r="E509" s="84" t="s">
        <v>409</v>
      </c>
      <c r="F509" s="84" t="s">
        <v>152</v>
      </c>
      <c r="G509" s="135">
        <f t="shared" si="37"/>
        <v>4284</v>
      </c>
      <c r="H509" s="349">
        <f t="shared" si="37"/>
        <v>4502</v>
      </c>
    </row>
    <row r="510" spans="1:14" ht="22.5" x14ac:dyDescent="0.2">
      <c r="A510" s="115" t="s">
        <v>153</v>
      </c>
      <c r="B510" s="105" t="s">
        <v>374</v>
      </c>
      <c r="C510" s="87" t="s">
        <v>160</v>
      </c>
      <c r="D510" s="87" t="s">
        <v>262</v>
      </c>
      <c r="E510" s="84" t="s">
        <v>409</v>
      </c>
      <c r="F510" s="84" t="s">
        <v>154</v>
      </c>
      <c r="G510" s="135">
        <v>4284</v>
      </c>
      <c r="H510" s="349">
        <v>4502</v>
      </c>
    </row>
    <row r="511" spans="1:14" x14ac:dyDescent="0.2">
      <c r="A511" s="98" t="s">
        <v>296</v>
      </c>
      <c r="B511" s="99" t="s">
        <v>374</v>
      </c>
      <c r="C511" s="97" t="s">
        <v>160</v>
      </c>
      <c r="D511" s="99" t="s">
        <v>297</v>
      </c>
      <c r="E511" s="97"/>
      <c r="F511" s="97" t="s">
        <v>184</v>
      </c>
      <c r="G511" s="133">
        <f>G526+G512+G540+G531</f>
        <v>789.61199999999997</v>
      </c>
      <c r="H511" s="347">
        <f>H526+H512+H540+H531</f>
        <v>777.71400000000017</v>
      </c>
      <c r="N511" s="229"/>
    </row>
    <row r="512" spans="1:14" ht="21" x14ac:dyDescent="0.2">
      <c r="A512" s="118" t="s">
        <v>411</v>
      </c>
      <c r="B512" s="106" t="s">
        <v>374</v>
      </c>
      <c r="C512" s="99" t="s">
        <v>160</v>
      </c>
      <c r="D512" s="99" t="s">
        <v>297</v>
      </c>
      <c r="E512" s="97" t="s">
        <v>412</v>
      </c>
      <c r="F512" s="97" t="s">
        <v>184</v>
      </c>
      <c r="G512" s="133">
        <f>G515+G518</f>
        <v>312.2</v>
      </c>
      <c r="H512" s="347">
        <f>H515+H518</f>
        <v>305.90000000000009</v>
      </c>
    </row>
    <row r="513" spans="1:8" ht="22.5" x14ac:dyDescent="0.2">
      <c r="A513" s="114" t="s">
        <v>413</v>
      </c>
      <c r="B513" s="105" t="s">
        <v>374</v>
      </c>
      <c r="C513" s="87" t="s">
        <v>160</v>
      </c>
      <c r="D513" s="87" t="s">
        <v>297</v>
      </c>
      <c r="E513" s="84" t="s">
        <v>414</v>
      </c>
      <c r="F513" s="84"/>
      <c r="G513" s="135">
        <f t="shared" ref="G513:H516" si="38">G514</f>
        <v>133.80000000000001</v>
      </c>
      <c r="H513" s="349">
        <f t="shared" si="38"/>
        <v>131.10000000000002</v>
      </c>
    </row>
    <row r="514" spans="1:8" x14ac:dyDescent="0.2">
      <c r="A514" s="124" t="s">
        <v>415</v>
      </c>
      <c r="B514" s="105" t="s">
        <v>374</v>
      </c>
      <c r="C514" s="87" t="s">
        <v>160</v>
      </c>
      <c r="D514" s="87" t="s">
        <v>297</v>
      </c>
      <c r="E514" s="84" t="s">
        <v>416</v>
      </c>
      <c r="F514" s="84"/>
      <c r="G514" s="135">
        <f t="shared" si="38"/>
        <v>133.80000000000001</v>
      </c>
      <c r="H514" s="349">
        <f t="shared" si="38"/>
        <v>131.10000000000002</v>
      </c>
    </row>
    <row r="515" spans="1:8" x14ac:dyDescent="0.2">
      <c r="A515" s="83" t="s">
        <v>650</v>
      </c>
      <c r="B515" s="105" t="s">
        <v>374</v>
      </c>
      <c r="C515" s="87" t="s">
        <v>160</v>
      </c>
      <c r="D515" s="87" t="s">
        <v>297</v>
      </c>
      <c r="E515" s="84" t="s">
        <v>416</v>
      </c>
      <c r="F515" s="84" t="s">
        <v>150</v>
      </c>
      <c r="G515" s="135">
        <f t="shared" si="38"/>
        <v>133.80000000000001</v>
      </c>
      <c r="H515" s="349">
        <f t="shared" si="38"/>
        <v>131.10000000000002</v>
      </c>
    </row>
    <row r="516" spans="1:8" ht="22.5" x14ac:dyDescent="0.2">
      <c r="A516" s="83" t="s">
        <v>151</v>
      </c>
      <c r="B516" s="105" t="s">
        <v>374</v>
      </c>
      <c r="C516" s="87" t="s">
        <v>160</v>
      </c>
      <c r="D516" s="87" t="s">
        <v>297</v>
      </c>
      <c r="E516" s="84" t="s">
        <v>416</v>
      </c>
      <c r="F516" s="84" t="s">
        <v>152</v>
      </c>
      <c r="G516" s="135">
        <f t="shared" si="38"/>
        <v>133.80000000000001</v>
      </c>
      <c r="H516" s="349">
        <f t="shared" si="38"/>
        <v>131.10000000000002</v>
      </c>
    </row>
    <row r="517" spans="1:8" ht="22.5" x14ac:dyDescent="0.2">
      <c r="A517" s="115" t="s">
        <v>153</v>
      </c>
      <c r="B517" s="105" t="s">
        <v>374</v>
      </c>
      <c r="C517" s="87" t="s">
        <v>160</v>
      </c>
      <c r="D517" s="87" t="s">
        <v>297</v>
      </c>
      <c r="E517" s="84" t="s">
        <v>416</v>
      </c>
      <c r="F517" s="84" t="s">
        <v>154</v>
      </c>
      <c r="G517" s="135">
        <f>150*89.2%</f>
        <v>133.80000000000001</v>
      </c>
      <c r="H517" s="349">
        <f>150*87.4%</f>
        <v>131.10000000000002</v>
      </c>
    </row>
    <row r="518" spans="1:8" ht="22.5" x14ac:dyDescent="0.2">
      <c r="A518" s="114" t="s">
        <v>417</v>
      </c>
      <c r="B518" s="105" t="s">
        <v>374</v>
      </c>
      <c r="C518" s="87" t="s">
        <v>160</v>
      </c>
      <c r="D518" s="87" t="s">
        <v>297</v>
      </c>
      <c r="E518" s="84" t="s">
        <v>418</v>
      </c>
      <c r="F518" s="84"/>
      <c r="G518" s="135">
        <f>G519</f>
        <v>178.39999999999998</v>
      </c>
      <c r="H518" s="349">
        <f>H519</f>
        <v>174.80000000000004</v>
      </c>
    </row>
    <row r="519" spans="1:8" ht="33.75" x14ac:dyDescent="0.2">
      <c r="A519" s="114" t="s">
        <v>419</v>
      </c>
      <c r="B519" s="105" t="s">
        <v>374</v>
      </c>
      <c r="C519" s="87" t="s">
        <v>160</v>
      </c>
      <c r="D519" s="87" t="s">
        <v>297</v>
      </c>
      <c r="E519" s="84" t="s">
        <v>420</v>
      </c>
      <c r="F519" s="84"/>
      <c r="G519" s="135">
        <f>G520+G523</f>
        <v>178.39999999999998</v>
      </c>
      <c r="H519" s="349">
        <f>H520+H523</f>
        <v>174.80000000000004</v>
      </c>
    </row>
    <row r="520" spans="1:8" ht="33.75" x14ac:dyDescent="0.2">
      <c r="A520" s="83" t="s">
        <v>139</v>
      </c>
      <c r="B520" s="105" t="s">
        <v>374</v>
      </c>
      <c r="C520" s="87" t="s">
        <v>160</v>
      </c>
      <c r="D520" s="87" t="s">
        <v>297</v>
      </c>
      <c r="E520" s="84" t="s">
        <v>420</v>
      </c>
      <c r="F520" s="84">
        <v>100</v>
      </c>
      <c r="G520" s="135">
        <f>G521</f>
        <v>8.92</v>
      </c>
      <c r="H520" s="349">
        <f>H521</f>
        <v>8.740000000000002</v>
      </c>
    </row>
    <row r="521" spans="1:8" x14ac:dyDescent="0.2">
      <c r="A521" s="83" t="s">
        <v>168</v>
      </c>
      <c r="B521" s="105" t="s">
        <v>374</v>
      </c>
      <c r="C521" s="87" t="s">
        <v>160</v>
      </c>
      <c r="D521" s="87" t="s">
        <v>297</v>
      </c>
      <c r="E521" s="84" t="s">
        <v>420</v>
      </c>
      <c r="F521" s="84">
        <v>120</v>
      </c>
      <c r="G521" s="135">
        <f>G522</f>
        <v>8.92</v>
      </c>
      <c r="H521" s="349">
        <f>H522</f>
        <v>8.740000000000002</v>
      </c>
    </row>
    <row r="522" spans="1:8" ht="22.5" x14ac:dyDescent="0.2">
      <c r="A522" s="69" t="s">
        <v>293</v>
      </c>
      <c r="B522" s="105" t="s">
        <v>374</v>
      </c>
      <c r="C522" s="87" t="s">
        <v>160</v>
      </c>
      <c r="D522" s="87" t="s">
        <v>297</v>
      </c>
      <c r="E522" s="84" t="s">
        <v>420</v>
      </c>
      <c r="F522" s="84">
        <v>122</v>
      </c>
      <c r="G522" s="135">
        <f>10*89.2%</f>
        <v>8.92</v>
      </c>
      <c r="H522" s="349">
        <f>10*87.4%</f>
        <v>8.740000000000002</v>
      </c>
    </row>
    <row r="523" spans="1:8" x14ac:dyDescent="0.2">
      <c r="A523" s="83" t="s">
        <v>650</v>
      </c>
      <c r="B523" s="105" t="s">
        <v>374</v>
      </c>
      <c r="C523" s="87" t="s">
        <v>160</v>
      </c>
      <c r="D523" s="87" t="s">
        <v>297</v>
      </c>
      <c r="E523" s="84" t="s">
        <v>420</v>
      </c>
      <c r="F523" s="84" t="s">
        <v>150</v>
      </c>
      <c r="G523" s="135">
        <f>G524</f>
        <v>169.48</v>
      </c>
      <c r="H523" s="349">
        <f>H524</f>
        <v>166.06000000000003</v>
      </c>
    </row>
    <row r="524" spans="1:8" ht="22.5" x14ac:dyDescent="0.2">
      <c r="A524" s="83" t="s">
        <v>151</v>
      </c>
      <c r="B524" s="105" t="s">
        <v>374</v>
      </c>
      <c r="C524" s="87" t="s">
        <v>160</v>
      </c>
      <c r="D524" s="87" t="s">
        <v>297</v>
      </c>
      <c r="E524" s="84" t="s">
        <v>420</v>
      </c>
      <c r="F524" s="84" t="s">
        <v>152</v>
      </c>
      <c r="G524" s="135">
        <f>G525</f>
        <v>169.48</v>
      </c>
      <c r="H524" s="349">
        <f>H525</f>
        <v>166.06000000000003</v>
      </c>
    </row>
    <row r="525" spans="1:8" ht="22.5" x14ac:dyDescent="0.2">
      <c r="A525" s="115" t="s">
        <v>153</v>
      </c>
      <c r="B525" s="105" t="s">
        <v>374</v>
      </c>
      <c r="C525" s="87" t="s">
        <v>160</v>
      </c>
      <c r="D525" s="87" t="s">
        <v>297</v>
      </c>
      <c r="E525" s="84" t="s">
        <v>420</v>
      </c>
      <c r="F525" s="84" t="s">
        <v>154</v>
      </c>
      <c r="G525" s="135">
        <f>190*89.2%</f>
        <v>169.48</v>
      </c>
      <c r="H525" s="349">
        <f>190*87.4%</f>
        <v>166.06000000000003</v>
      </c>
    </row>
    <row r="526" spans="1:8" ht="31.5" x14ac:dyDescent="0.2">
      <c r="A526" s="98" t="s">
        <v>421</v>
      </c>
      <c r="B526" s="106" t="s">
        <v>374</v>
      </c>
      <c r="C526" s="97" t="s">
        <v>160</v>
      </c>
      <c r="D526" s="99" t="s">
        <v>297</v>
      </c>
      <c r="E526" s="97" t="s">
        <v>422</v>
      </c>
      <c r="F526" s="97"/>
      <c r="G526" s="133">
        <f>+G527</f>
        <v>54.411999999999999</v>
      </c>
      <c r="H526" s="347">
        <f>+H527</f>
        <v>53.314000000000007</v>
      </c>
    </row>
    <row r="527" spans="1:8" ht="22.5" x14ac:dyDescent="0.2">
      <c r="A527" s="83" t="s">
        <v>423</v>
      </c>
      <c r="B527" s="87" t="s">
        <v>374</v>
      </c>
      <c r="C527" s="87" t="s">
        <v>160</v>
      </c>
      <c r="D527" s="87" t="s">
        <v>297</v>
      </c>
      <c r="E527" s="84" t="s">
        <v>424</v>
      </c>
      <c r="F527" s="84" t="s">
        <v>184</v>
      </c>
      <c r="G527" s="141">
        <f t="shared" ref="G527:H529" si="39">G528</f>
        <v>54.411999999999999</v>
      </c>
      <c r="H527" s="362">
        <f t="shared" si="39"/>
        <v>53.314000000000007</v>
      </c>
    </row>
    <row r="528" spans="1:8" x14ac:dyDescent="0.2">
      <c r="A528" s="83" t="s">
        <v>650</v>
      </c>
      <c r="B528" s="105" t="s">
        <v>374</v>
      </c>
      <c r="C528" s="87" t="s">
        <v>160</v>
      </c>
      <c r="D528" s="87" t="s">
        <v>297</v>
      </c>
      <c r="E528" s="84" t="s">
        <v>424</v>
      </c>
      <c r="F528" s="84" t="s">
        <v>150</v>
      </c>
      <c r="G528" s="141">
        <f t="shared" si="39"/>
        <v>54.411999999999999</v>
      </c>
      <c r="H528" s="362">
        <f t="shared" si="39"/>
        <v>53.314000000000007</v>
      </c>
    </row>
    <row r="529" spans="1:13" ht="22.5" x14ac:dyDescent="0.2">
      <c r="A529" s="83" t="s">
        <v>151</v>
      </c>
      <c r="B529" s="87" t="s">
        <v>374</v>
      </c>
      <c r="C529" s="87" t="s">
        <v>160</v>
      </c>
      <c r="D529" s="87" t="s">
        <v>297</v>
      </c>
      <c r="E529" s="84" t="s">
        <v>424</v>
      </c>
      <c r="F529" s="84" t="s">
        <v>152</v>
      </c>
      <c r="G529" s="141">
        <f t="shared" si="39"/>
        <v>54.411999999999999</v>
      </c>
      <c r="H529" s="362">
        <f t="shared" si="39"/>
        <v>53.314000000000007</v>
      </c>
    </row>
    <row r="530" spans="1:13" ht="22.5" x14ac:dyDescent="0.2">
      <c r="A530" s="115" t="s">
        <v>153</v>
      </c>
      <c r="B530" s="105" t="s">
        <v>374</v>
      </c>
      <c r="C530" s="87" t="s">
        <v>160</v>
      </c>
      <c r="D530" s="87" t="s">
        <v>297</v>
      </c>
      <c r="E530" s="84" t="s">
        <v>424</v>
      </c>
      <c r="F530" s="84" t="s">
        <v>154</v>
      </c>
      <c r="G530" s="141">
        <f>61*89.2%</f>
        <v>54.411999999999999</v>
      </c>
      <c r="H530" s="362">
        <f>61*87.4%</f>
        <v>53.314000000000007</v>
      </c>
    </row>
    <row r="531" spans="1:13" ht="21" x14ac:dyDescent="0.2">
      <c r="A531" s="98" t="s">
        <v>425</v>
      </c>
      <c r="B531" s="106" t="s">
        <v>374</v>
      </c>
      <c r="C531" s="97" t="s">
        <v>160</v>
      </c>
      <c r="D531" s="99" t="s">
        <v>297</v>
      </c>
      <c r="E531" s="97" t="s">
        <v>426</v>
      </c>
      <c r="F531" s="97"/>
      <c r="G531" s="142">
        <f>G532+G536</f>
        <v>44.6</v>
      </c>
      <c r="H531" s="361">
        <f>H532+H536</f>
        <v>43.7</v>
      </c>
    </row>
    <row r="532" spans="1:13" ht="22.5" x14ac:dyDescent="0.2">
      <c r="A532" s="114" t="s">
        <v>67</v>
      </c>
      <c r="B532" s="105" t="s">
        <v>374</v>
      </c>
      <c r="C532" s="84" t="s">
        <v>160</v>
      </c>
      <c r="D532" s="87" t="s">
        <v>297</v>
      </c>
      <c r="E532" s="84" t="s">
        <v>427</v>
      </c>
      <c r="F532" s="91"/>
      <c r="G532" s="136">
        <f t="shared" ref="G532:H534" si="40">G533</f>
        <v>0</v>
      </c>
      <c r="H532" s="363">
        <f t="shared" si="40"/>
        <v>0</v>
      </c>
    </row>
    <row r="533" spans="1:13" x14ac:dyDescent="0.2">
      <c r="A533" s="83" t="s">
        <v>650</v>
      </c>
      <c r="B533" s="105" t="s">
        <v>374</v>
      </c>
      <c r="C533" s="84" t="s">
        <v>160</v>
      </c>
      <c r="D533" s="87" t="s">
        <v>297</v>
      </c>
      <c r="E533" s="84" t="s">
        <v>427</v>
      </c>
      <c r="F533" s="91" t="s">
        <v>150</v>
      </c>
      <c r="G533" s="136">
        <f t="shared" si="40"/>
        <v>0</v>
      </c>
      <c r="H533" s="363">
        <f t="shared" si="40"/>
        <v>0</v>
      </c>
    </row>
    <row r="534" spans="1:13" ht="22.5" x14ac:dyDescent="0.2">
      <c r="A534" s="83" t="s">
        <v>151</v>
      </c>
      <c r="B534" s="105" t="s">
        <v>374</v>
      </c>
      <c r="C534" s="84" t="s">
        <v>160</v>
      </c>
      <c r="D534" s="87" t="s">
        <v>297</v>
      </c>
      <c r="E534" s="84" t="s">
        <v>427</v>
      </c>
      <c r="F534" s="91" t="s">
        <v>152</v>
      </c>
      <c r="G534" s="136">
        <f t="shared" si="40"/>
        <v>0</v>
      </c>
      <c r="H534" s="363">
        <f t="shared" si="40"/>
        <v>0</v>
      </c>
    </row>
    <row r="535" spans="1:13" ht="22.5" x14ac:dyDescent="0.2">
      <c r="A535" s="115" t="s">
        <v>153</v>
      </c>
      <c r="B535" s="105" t="s">
        <v>374</v>
      </c>
      <c r="C535" s="84" t="s">
        <v>160</v>
      </c>
      <c r="D535" s="87" t="s">
        <v>297</v>
      </c>
      <c r="E535" s="84" t="s">
        <v>427</v>
      </c>
      <c r="F535" s="91" t="s">
        <v>154</v>
      </c>
      <c r="G535" s="136"/>
      <c r="H535" s="363"/>
    </row>
    <row r="536" spans="1:13" x14ac:dyDescent="0.2">
      <c r="A536" s="124" t="s">
        <v>428</v>
      </c>
      <c r="B536" s="87" t="s">
        <v>374</v>
      </c>
      <c r="C536" s="87" t="s">
        <v>160</v>
      </c>
      <c r="D536" s="87" t="s">
        <v>297</v>
      </c>
      <c r="E536" s="84" t="s">
        <v>429</v>
      </c>
      <c r="F536" s="84" t="s">
        <v>184</v>
      </c>
      <c r="G536" s="141">
        <f t="shared" ref="G536:H538" si="41">G537</f>
        <v>44.6</v>
      </c>
      <c r="H536" s="362">
        <f t="shared" si="41"/>
        <v>43.7</v>
      </c>
    </row>
    <row r="537" spans="1:13" x14ac:dyDescent="0.2">
      <c r="A537" s="83" t="s">
        <v>650</v>
      </c>
      <c r="B537" s="105" t="s">
        <v>374</v>
      </c>
      <c r="C537" s="87" t="s">
        <v>160</v>
      </c>
      <c r="D537" s="87" t="s">
        <v>297</v>
      </c>
      <c r="E537" s="84" t="s">
        <v>429</v>
      </c>
      <c r="F537" s="84" t="s">
        <v>150</v>
      </c>
      <c r="G537" s="141">
        <f t="shared" si="41"/>
        <v>44.6</v>
      </c>
      <c r="H537" s="362">
        <f t="shared" si="41"/>
        <v>43.7</v>
      </c>
    </row>
    <row r="538" spans="1:13" s="74" customFormat="1" ht="22.5" x14ac:dyDescent="0.2">
      <c r="A538" s="83" t="s">
        <v>151</v>
      </c>
      <c r="B538" s="87" t="s">
        <v>374</v>
      </c>
      <c r="C538" s="87" t="s">
        <v>160</v>
      </c>
      <c r="D538" s="87" t="s">
        <v>297</v>
      </c>
      <c r="E538" s="84" t="s">
        <v>429</v>
      </c>
      <c r="F538" s="84" t="s">
        <v>152</v>
      </c>
      <c r="G538" s="141">
        <f t="shared" si="41"/>
        <v>44.6</v>
      </c>
      <c r="H538" s="362">
        <f t="shared" si="41"/>
        <v>43.7</v>
      </c>
      <c r="I538" s="150"/>
      <c r="J538" s="150"/>
      <c r="K538" s="150"/>
      <c r="L538" s="150"/>
      <c r="M538" s="150"/>
    </row>
    <row r="539" spans="1:13" s="74" customFormat="1" ht="22.5" x14ac:dyDescent="0.2">
      <c r="A539" s="115" t="s">
        <v>153</v>
      </c>
      <c r="B539" s="105" t="s">
        <v>374</v>
      </c>
      <c r="C539" s="87" t="s">
        <v>160</v>
      </c>
      <c r="D539" s="87" t="s">
        <v>297</v>
      </c>
      <c r="E539" s="84" t="s">
        <v>429</v>
      </c>
      <c r="F539" s="84" t="s">
        <v>154</v>
      </c>
      <c r="G539" s="141">
        <f>50*89.2%</f>
        <v>44.6</v>
      </c>
      <c r="H539" s="362">
        <f>50*87.4%</f>
        <v>43.7</v>
      </c>
      <c r="I539" s="150"/>
      <c r="J539" s="150"/>
      <c r="K539" s="150"/>
      <c r="L539" s="150"/>
      <c r="M539" s="150"/>
    </row>
    <row r="540" spans="1:13" s="74" customFormat="1" ht="22.5" x14ac:dyDescent="0.2">
      <c r="A540" s="83" t="s">
        <v>430</v>
      </c>
      <c r="B540" s="87" t="s">
        <v>374</v>
      </c>
      <c r="C540" s="87" t="s">
        <v>160</v>
      </c>
      <c r="D540" s="87" t="s">
        <v>297</v>
      </c>
      <c r="E540" s="84" t="s">
        <v>431</v>
      </c>
      <c r="F540" s="84" t="s">
        <v>184</v>
      </c>
      <c r="G540" s="135">
        <f t="shared" ref="G540:H543" si="42">G541</f>
        <v>378.4</v>
      </c>
      <c r="H540" s="349">
        <f t="shared" si="42"/>
        <v>374.8</v>
      </c>
      <c r="I540" s="150"/>
      <c r="J540" s="150"/>
      <c r="K540" s="150"/>
      <c r="L540" s="150"/>
      <c r="M540" s="150"/>
    </row>
    <row r="541" spans="1:13" s="74" customFormat="1" ht="22.5" x14ac:dyDescent="0.2">
      <c r="A541" s="83" t="s">
        <v>432</v>
      </c>
      <c r="B541" s="105" t="s">
        <v>374</v>
      </c>
      <c r="C541" s="87" t="s">
        <v>160</v>
      </c>
      <c r="D541" s="87" t="s">
        <v>297</v>
      </c>
      <c r="E541" s="84" t="s">
        <v>433</v>
      </c>
      <c r="F541" s="84"/>
      <c r="G541" s="135">
        <f t="shared" si="42"/>
        <v>378.4</v>
      </c>
      <c r="H541" s="349">
        <f t="shared" si="42"/>
        <v>374.8</v>
      </c>
      <c r="I541" s="150"/>
      <c r="J541" s="150"/>
      <c r="K541" s="150"/>
      <c r="L541" s="150"/>
      <c r="M541" s="150"/>
    </row>
    <row r="542" spans="1:13" x14ac:dyDescent="0.2">
      <c r="A542" s="83" t="s">
        <v>650</v>
      </c>
      <c r="B542" s="105" t="s">
        <v>374</v>
      </c>
      <c r="C542" s="87" t="s">
        <v>160</v>
      </c>
      <c r="D542" s="87" t="s">
        <v>297</v>
      </c>
      <c r="E542" s="84" t="s">
        <v>433</v>
      </c>
      <c r="F542" s="84" t="s">
        <v>150</v>
      </c>
      <c r="G542" s="135">
        <f t="shared" si="42"/>
        <v>378.4</v>
      </c>
      <c r="H542" s="349">
        <f t="shared" si="42"/>
        <v>374.8</v>
      </c>
    </row>
    <row r="543" spans="1:13" ht="22.5" x14ac:dyDescent="0.2">
      <c r="A543" s="83" t="s">
        <v>151</v>
      </c>
      <c r="B543" s="87" t="s">
        <v>374</v>
      </c>
      <c r="C543" s="87" t="s">
        <v>160</v>
      </c>
      <c r="D543" s="87" t="s">
        <v>297</v>
      </c>
      <c r="E543" s="84" t="s">
        <v>433</v>
      </c>
      <c r="F543" s="84" t="s">
        <v>152</v>
      </c>
      <c r="G543" s="135">
        <f t="shared" si="42"/>
        <v>378.4</v>
      </c>
      <c r="H543" s="349">
        <f t="shared" si="42"/>
        <v>374.8</v>
      </c>
    </row>
    <row r="544" spans="1:13" ht="22.5" x14ac:dyDescent="0.2">
      <c r="A544" s="115" t="s">
        <v>153</v>
      </c>
      <c r="B544" s="105" t="s">
        <v>374</v>
      </c>
      <c r="C544" s="87" t="s">
        <v>160</v>
      </c>
      <c r="D544" s="87" t="s">
        <v>297</v>
      </c>
      <c r="E544" s="84" t="s">
        <v>433</v>
      </c>
      <c r="F544" s="84" t="s">
        <v>154</v>
      </c>
      <c r="G544" s="135">
        <f>200+200*89.2%</f>
        <v>378.4</v>
      </c>
      <c r="H544" s="349">
        <f>200+200*87.4%</f>
        <v>374.8</v>
      </c>
    </row>
    <row r="545" spans="1:14" x14ac:dyDescent="0.2">
      <c r="A545" s="125" t="s">
        <v>434</v>
      </c>
      <c r="B545" s="106" t="s">
        <v>374</v>
      </c>
      <c r="C545" s="99" t="s">
        <v>286</v>
      </c>
      <c r="D545" s="99"/>
      <c r="E545" s="97"/>
      <c r="F545" s="97"/>
      <c r="G545" s="133">
        <f>G546</f>
        <v>624.40000000000009</v>
      </c>
      <c r="H545" s="347">
        <f>H546</f>
        <v>611.80000000000007</v>
      </c>
      <c r="I545" s="148"/>
      <c r="N545" s="229"/>
    </row>
    <row r="546" spans="1:14" x14ac:dyDescent="0.2">
      <c r="A546" s="125" t="s">
        <v>435</v>
      </c>
      <c r="B546" s="106" t="s">
        <v>374</v>
      </c>
      <c r="C546" s="99" t="s">
        <v>286</v>
      </c>
      <c r="D546" s="99" t="s">
        <v>188</v>
      </c>
      <c r="E546" s="97"/>
      <c r="F546" s="97"/>
      <c r="G546" s="133">
        <f>G547</f>
        <v>624.40000000000009</v>
      </c>
      <c r="H546" s="347">
        <f>H547</f>
        <v>611.80000000000007</v>
      </c>
    </row>
    <row r="547" spans="1:14" ht="31.5" x14ac:dyDescent="0.2">
      <c r="A547" s="118" t="s">
        <v>436</v>
      </c>
      <c r="B547" s="106" t="s">
        <v>374</v>
      </c>
      <c r="C547" s="99" t="s">
        <v>286</v>
      </c>
      <c r="D547" s="99" t="s">
        <v>188</v>
      </c>
      <c r="E547" s="97" t="s">
        <v>437</v>
      </c>
      <c r="F547" s="97"/>
      <c r="G547" s="133">
        <f>G548+G552+G556</f>
        <v>624.40000000000009</v>
      </c>
      <c r="H547" s="347">
        <f>H548+H552+H556</f>
        <v>611.80000000000007</v>
      </c>
    </row>
    <row r="548" spans="1:14" ht="22.5" x14ac:dyDescent="0.2">
      <c r="A548" s="114" t="s">
        <v>438</v>
      </c>
      <c r="B548" s="105" t="s">
        <v>374</v>
      </c>
      <c r="C548" s="87" t="s">
        <v>286</v>
      </c>
      <c r="D548" s="87" t="s">
        <v>188</v>
      </c>
      <c r="E548" s="84" t="s">
        <v>439</v>
      </c>
      <c r="F548" s="84"/>
      <c r="G548" s="135">
        <f t="shared" ref="G548:H550" si="43">G549</f>
        <v>573.11</v>
      </c>
      <c r="H548" s="349">
        <f t="shared" si="43"/>
        <v>561.54500000000007</v>
      </c>
    </row>
    <row r="549" spans="1:14" x14ac:dyDescent="0.2">
      <c r="A549" s="83" t="s">
        <v>650</v>
      </c>
      <c r="B549" s="105" t="s">
        <v>374</v>
      </c>
      <c r="C549" s="87" t="s">
        <v>286</v>
      </c>
      <c r="D549" s="87" t="s">
        <v>188</v>
      </c>
      <c r="E549" s="84" t="s">
        <v>439</v>
      </c>
      <c r="F549" s="84" t="s">
        <v>150</v>
      </c>
      <c r="G549" s="135">
        <f t="shared" si="43"/>
        <v>573.11</v>
      </c>
      <c r="H549" s="349">
        <f t="shared" si="43"/>
        <v>561.54500000000007</v>
      </c>
    </row>
    <row r="550" spans="1:14" ht="22.5" x14ac:dyDescent="0.2">
      <c r="A550" s="83" t="s">
        <v>151</v>
      </c>
      <c r="B550" s="105" t="s">
        <v>374</v>
      </c>
      <c r="C550" s="87" t="s">
        <v>286</v>
      </c>
      <c r="D550" s="87" t="s">
        <v>188</v>
      </c>
      <c r="E550" s="84" t="s">
        <v>439</v>
      </c>
      <c r="F550" s="84" t="s">
        <v>152</v>
      </c>
      <c r="G550" s="135">
        <f t="shared" si="43"/>
        <v>573.11</v>
      </c>
      <c r="H550" s="349">
        <f t="shared" si="43"/>
        <v>561.54500000000007</v>
      </c>
    </row>
    <row r="551" spans="1:14" ht="22.5" x14ac:dyDescent="0.2">
      <c r="A551" s="115" t="s">
        <v>153</v>
      </c>
      <c r="B551" s="105" t="s">
        <v>374</v>
      </c>
      <c r="C551" s="87" t="s">
        <v>286</v>
      </c>
      <c r="D551" s="87" t="s">
        <v>188</v>
      </c>
      <c r="E551" s="84" t="s">
        <v>439</v>
      </c>
      <c r="F551" s="84" t="s">
        <v>154</v>
      </c>
      <c r="G551" s="135">
        <f>642.5*89.2%</f>
        <v>573.11</v>
      </c>
      <c r="H551" s="349">
        <f>642.5*87.4%</f>
        <v>561.54500000000007</v>
      </c>
    </row>
    <row r="552" spans="1:14" ht="22.5" x14ac:dyDescent="0.2">
      <c r="A552" s="83" t="s">
        <v>440</v>
      </c>
      <c r="B552" s="105" t="s">
        <v>374</v>
      </c>
      <c r="C552" s="87" t="s">
        <v>286</v>
      </c>
      <c r="D552" s="87" t="s">
        <v>188</v>
      </c>
      <c r="E552" s="84" t="s">
        <v>441</v>
      </c>
      <c r="F552" s="84"/>
      <c r="G552" s="135">
        <f t="shared" ref="G552:H554" si="44">G553</f>
        <v>17.84</v>
      </c>
      <c r="H552" s="349">
        <f t="shared" si="44"/>
        <v>17.480000000000004</v>
      </c>
    </row>
    <row r="553" spans="1:14" x14ac:dyDescent="0.2">
      <c r="A553" s="83" t="s">
        <v>650</v>
      </c>
      <c r="B553" s="105" t="s">
        <v>374</v>
      </c>
      <c r="C553" s="87" t="s">
        <v>286</v>
      </c>
      <c r="D553" s="87" t="s">
        <v>188</v>
      </c>
      <c r="E553" s="84" t="s">
        <v>441</v>
      </c>
      <c r="F553" s="84" t="s">
        <v>150</v>
      </c>
      <c r="G553" s="135">
        <f t="shared" si="44"/>
        <v>17.84</v>
      </c>
      <c r="H553" s="349">
        <f t="shared" si="44"/>
        <v>17.480000000000004</v>
      </c>
    </row>
    <row r="554" spans="1:14" ht="22.5" x14ac:dyDescent="0.2">
      <c r="A554" s="83" t="s">
        <v>151</v>
      </c>
      <c r="B554" s="105" t="s">
        <v>374</v>
      </c>
      <c r="C554" s="87" t="s">
        <v>286</v>
      </c>
      <c r="D554" s="87" t="s">
        <v>188</v>
      </c>
      <c r="E554" s="84" t="s">
        <v>441</v>
      </c>
      <c r="F554" s="84" t="s">
        <v>152</v>
      </c>
      <c r="G554" s="135">
        <f t="shared" si="44"/>
        <v>17.84</v>
      </c>
      <c r="H554" s="349">
        <f t="shared" si="44"/>
        <v>17.480000000000004</v>
      </c>
    </row>
    <row r="555" spans="1:14" ht="22.5" x14ac:dyDescent="0.2">
      <c r="A555" s="115" t="s">
        <v>153</v>
      </c>
      <c r="B555" s="105" t="s">
        <v>374</v>
      </c>
      <c r="C555" s="87" t="s">
        <v>286</v>
      </c>
      <c r="D555" s="87" t="s">
        <v>188</v>
      </c>
      <c r="E555" s="84" t="s">
        <v>441</v>
      </c>
      <c r="F555" s="84" t="s">
        <v>154</v>
      </c>
      <c r="G555" s="135">
        <f>20*89.2%</f>
        <v>17.84</v>
      </c>
      <c r="H555" s="349">
        <f>20*87.4%</f>
        <v>17.480000000000004</v>
      </c>
    </row>
    <row r="556" spans="1:14" ht="22.5" x14ac:dyDescent="0.2">
      <c r="A556" s="100" t="s">
        <v>442</v>
      </c>
      <c r="B556" s="111" t="s">
        <v>374</v>
      </c>
      <c r="C556" s="104" t="s">
        <v>286</v>
      </c>
      <c r="D556" s="104" t="s">
        <v>188</v>
      </c>
      <c r="E556" s="102" t="s">
        <v>443</v>
      </c>
      <c r="F556" s="102"/>
      <c r="G556" s="134">
        <f t="shared" ref="G556:H558" si="45">G557</f>
        <v>33.450000000000003</v>
      </c>
      <c r="H556" s="348">
        <f t="shared" si="45"/>
        <v>32.775000000000006</v>
      </c>
    </row>
    <row r="557" spans="1:14" x14ac:dyDescent="0.2">
      <c r="A557" s="83" t="s">
        <v>650</v>
      </c>
      <c r="B557" s="105" t="s">
        <v>374</v>
      </c>
      <c r="C557" s="87" t="s">
        <v>286</v>
      </c>
      <c r="D557" s="87" t="s">
        <v>188</v>
      </c>
      <c r="E557" s="84" t="s">
        <v>443</v>
      </c>
      <c r="F557" s="84" t="s">
        <v>150</v>
      </c>
      <c r="G557" s="135">
        <f t="shared" si="45"/>
        <v>33.450000000000003</v>
      </c>
      <c r="H557" s="349">
        <f t="shared" si="45"/>
        <v>32.775000000000006</v>
      </c>
    </row>
    <row r="558" spans="1:14" ht="22.5" x14ac:dyDescent="0.2">
      <c r="A558" s="83" t="s">
        <v>151</v>
      </c>
      <c r="B558" s="105" t="s">
        <v>374</v>
      </c>
      <c r="C558" s="87" t="s">
        <v>286</v>
      </c>
      <c r="D558" s="87" t="s">
        <v>188</v>
      </c>
      <c r="E558" s="84" t="s">
        <v>443</v>
      </c>
      <c r="F558" s="84" t="s">
        <v>152</v>
      </c>
      <c r="G558" s="135">
        <f t="shared" si="45"/>
        <v>33.450000000000003</v>
      </c>
      <c r="H558" s="349">
        <f t="shared" si="45"/>
        <v>32.775000000000006</v>
      </c>
    </row>
    <row r="559" spans="1:14" ht="22.5" x14ac:dyDescent="0.2">
      <c r="A559" s="115" t="s">
        <v>153</v>
      </c>
      <c r="B559" s="105" t="s">
        <v>374</v>
      </c>
      <c r="C559" s="87" t="s">
        <v>286</v>
      </c>
      <c r="D559" s="87" t="s">
        <v>188</v>
      </c>
      <c r="E559" s="84" t="s">
        <v>443</v>
      </c>
      <c r="F559" s="84" t="s">
        <v>154</v>
      </c>
      <c r="G559" s="135">
        <f>37.5*89.2%</f>
        <v>33.450000000000003</v>
      </c>
      <c r="H559" s="349">
        <f>37.5*87.4%</f>
        <v>32.775000000000006</v>
      </c>
    </row>
    <row r="560" spans="1:14" x14ac:dyDescent="0.2">
      <c r="A560" s="98" t="s">
        <v>241</v>
      </c>
      <c r="B560" s="95" t="s">
        <v>374</v>
      </c>
      <c r="C560" s="94" t="s">
        <v>242</v>
      </c>
      <c r="D560" s="94"/>
      <c r="E560" s="96"/>
      <c r="F560" s="96"/>
      <c r="G560" s="138">
        <f>G561+G567</f>
        <v>437.81999999999994</v>
      </c>
      <c r="H560" s="345">
        <f>H561+H567</f>
        <v>439.23999999999995</v>
      </c>
      <c r="I560" s="148"/>
      <c r="L560" s="148"/>
    </row>
    <row r="561" spans="1:13" x14ac:dyDescent="0.2">
      <c r="A561" s="98" t="s">
        <v>504</v>
      </c>
      <c r="B561" s="95" t="s">
        <v>374</v>
      </c>
      <c r="C561" s="94" t="s">
        <v>242</v>
      </c>
      <c r="D561" s="94" t="s">
        <v>242</v>
      </c>
      <c r="E561" s="96" t="s">
        <v>183</v>
      </c>
      <c r="F561" s="96" t="s">
        <v>184</v>
      </c>
      <c r="G561" s="133">
        <f t="shared" ref="G561:H565" si="46">G562</f>
        <v>53.52</v>
      </c>
      <c r="H561" s="347">
        <f t="shared" si="46"/>
        <v>52.440000000000005</v>
      </c>
    </row>
    <row r="562" spans="1:13" ht="31.5" x14ac:dyDescent="0.2">
      <c r="A562" s="98" t="s">
        <v>452</v>
      </c>
      <c r="B562" s="95" t="s">
        <v>374</v>
      </c>
      <c r="C562" s="94" t="s">
        <v>242</v>
      </c>
      <c r="D562" s="94" t="s">
        <v>242</v>
      </c>
      <c r="E562" s="96" t="s">
        <v>453</v>
      </c>
      <c r="F562" s="96"/>
      <c r="G562" s="138">
        <f t="shared" si="46"/>
        <v>53.52</v>
      </c>
      <c r="H562" s="345">
        <f t="shared" si="46"/>
        <v>52.440000000000005</v>
      </c>
    </row>
    <row r="563" spans="1:13" ht="22.5" x14ac:dyDescent="0.2">
      <c r="A563" s="119" t="s">
        <v>454</v>
      </c>
      <c r="B563" s="107" t="s">
        <v>374</v>
      </c>
      <c r="C563" s="101" t="s">
        <v>242</v>
      </c>
      <c r="D563" s="101" t="s">
        <v>242</v>
      </c>
      <c r="E563" s="103" t="s">
        <v>455</v>
      </c>
      <c r="F563" s="103"/>
      <c r="G563" s="143">
        <f t="shared" si="46"/>
        <v>53.52</v>
      </c>
      <c r="H563" s="357">
        <f t="shared" si="46"/>
        <v>52.440000000000005</v>
      </c>
    </row>
    <row r="564" spans="1:13" x14ac:dyDescent="0.2">
      <c r="A564" s="83" t="s">
        <v>650</v>
      </c>
      <c r="B564" s="62" t="s">
        <v>374</v>
      </c>
      <c r="C564" s="67" t="s">
        <v>242</v>
      </c>
      <c r="D564" s="67" t="s">
        <v>242</v>
      </c>
      <c r="E564" s="68" t="s">
        <v>455</v>
      </c>
      <c r="F564" s="68">
        <v>200</v>
      </c>
      <c r="G564" s="131">
        <f t="shared" si="46"/>
        <v>53.52</v>
      </c>
      <c r="H564" s="353">
        <f t="shared" si="46"/>
        <v>52.440000000000005</v>
      </c>
    </row>
    <row r="565" spans="1:13" ht="22.5" x14ac:dyDescent="0.2">
      <c r="A565" s="83" t="s">
        <v>151</v>
      </c>
      <c r="B565" s="62" t="s">
        <v>374</v>
      </c>
      <c r="C565" s="67" t="s">
        <v>242</v>
      </c>
      <c r="D565" s="67" t="s">
        <v>242</v>
      </c>
      <c r="E565" s="68" t="s">
        <v>455</v>
      </c>
      <c r="F565" s="68">
        <v>240</v>
      </c>
      <c r="G565" s="131">
        <f t="shared" si="46"/>
        <v>53.52</v>
      </c>
      <c r="H565" s="353">
        <f t="shared" si="46"/>
        <v>52.440000000000005</v>
      </c>
    </row>
    <row r="566" spans="1:13" ht="22.5" x14ac:dyDescent="0.2">
      <c r="A566" s="115" t="s">
        <v>153</v>
      </c>
      <c r="B566" s="62" t="s">
        <v>374</v>
      </c>
      <c r="C566" s="67" t="s">
        <v>242</v>
      </c>
      <c r="D566" s="67" t="s">
        <v>242</v>
      </c>
      <c r="E566" s="68" t="s">
        <v>455</v>
      </c>
      <c r="F566" s="68">
        <v>244</v>
      </c>
      <c r="G566" s="131">
        <f>60*89.2%</f>
        <v>53.52</v>
      </c>
      <c r="H566" s="353">
        <f>60*87.4%</f>
        <v>52.440000000000005</v>
      </c>
      <c r="I566" s="148"/>
    </row>
    <row r="567" spans="1:13" x14ac:dyDescent="0.2">
      <c r="A567" s="98" t="s">
        <v>261</v>
      </c>
      <c r="B567" s="94" t="s">
        <v>374</v>
      </c>
      <c r="C567" s="94" t="s">
        <v>242</v>
      </c>
      <c r="D567" s="94" t="s">
        <v>262</v>
      </c>
      <c r="E567" s="96" t="s">
        <v>183</v>
      </c>
      <c r="F567" s="96" t="s">
        <v>184</v>
      </c>
      <c r="G567" s="133">
        <f>G568</f>
        <v>384.29999999999995</v>
      </c>
      <c r="H567" s="347">
        <f>H568</f>
        <v>386.79999999999995</v>
      </c>
      <c r="I567" s="148"/>
    </row>
    <row r="568" spans="1:13" s="92" customFormat="1" ht="21" x14ac:dyDescent="0.2">
      <c r="A568" s="326" t="s">
        <v>661</v>
      </c>
      <c r="B568" s="327" t="s">
        <v>374</v>
      </c>
      <c r="C568" s="328" t="s">
        <v>242</v>
      </c>
      <c r="D568" s="328" t="s">
        <v>262</v>
      </c>
      <c r="E568" s="328" t="s">
        <v>446</v>
      </c>
      <c r="F568" s="329" t="s">
        <v>184</v>
      </c>
      <c r="G568" s="330">
        <f>G569+G574</f>
        <v>384.29999999999995</v>
      </c>
      <c r="H568" s="367">
        <f>H569+H574</f>
        <v>386.79999999999995</v>
      </c>
      <c r="I568" s="158"/>
      <c r="J568" s="158"/>
      <c r="K568" s="158"/>
      <c r="L568" s="158"/>
      <c r="M568" s="158"/>
    </row>
    <row r="569" spans="1:13" s="74" customFormat="1" ht="33.75" x14ac:dyDescent="0.2">
      <c r="A569" s="83" t="s">
        <v>139</v>
      </c>
      <c r="B569" s="73" t="s">
        <v>374</v>
      </c>
      <c r="C569" s="68" t="s">
        <v>242</v>
      </c>
      <c r="D569" s="68" t="s">
        <v>262</v>
      </c>
      <c r="E569" s="68" t="s">
        <v>446</v>
      </c>
      <c r="F569" s="72">
        <v>100</v>
      </c>
      <c r="G569" s="139">
        <f>G570</f>
        <v>367.59999999999997</v>
      </c>
      <c r="H569" s="351">
        <f>H570</f>
        <v>367.59999999999997</v>
      </c>
      <c r="I569" s="150"/>
      <c r="J569" s="150"/>
      <c r="K569" s="150"/>
      <c r="L569" s="150"/>
      <c r="M569" s="150"/>
    </row>
    <row r="570" spans="1:13" s="74" customFormat="1" x14ac:dyDescent="0.2">
      <c r="A570" s="83" t="s">
        <v>168</v>
      </c>
      <c r="B570" s="93" t="s">
        <v>374</v>
      </c>
      <c r="C570" s="68" t="s">
        <v>242</v>
      </c>
      <c r="D570" s="68" t="s">
        <v>262</v>
      </c>
      <c r="E570" s="68" t="s">
        <v>446</v>
      </c>
      <c r="F570" s="72">
        <v>120</v>
      </c>
      <c r="G570" s="139">
        <f>G571+G572+G573</f>
        <v>367.59999999999997</v>
      </c>
      <c r="H570" s="351">
        <f>H571+H572+H573</f>
        <v>367.59999999999997</v>
      </c>
      <c r="I570" s="150"/>
      <c r="J570" s="150"/>
      <c r="K570" s="150"/>
      <c r="L570" s="150"/>
      <c r="M570" s="150"/>
    </row>
    <row r="571" spans="1:13" s="74" customFormat="1" x14ac:dyDescent="0.2">
      <c r="A571" s="114" t="s">
        <v>169</v>
      </c>
      <c r="B571" s="93" t="s">
        <v>374</v>
      </c>
      <c r="C571" s="68" t="s">
        <v>242</v>
      </c>
      <c r="D571" s="68" t="s">
        <v>262</v>
      </c>
      <c r="E571" s="68" t="s">
        <v>446</v>
      </c>
      <c r="F571" s="72">
        <v>121</v>
      </c>
      <c r="G571" s="139">
        <v>270.39999999999998</v>
      </c>
      <c r="H571" s="351">
        <v>270.39999999999998</v>
      </c>
      <c r="I571" s="150"/>
      <c r="J571" s="150"/>
      <c r="K571" s="150"/>
      <c r="L571" s="150"/>
      <c r="M571" s="150"/>
    </row>
    <row r="572" spans="1:13" ht="22.5" x14ac:dyDescent="0.2">
      <c r="A572" s="69" t="s">
        <v>293</v>
      </c>
      <c r="B572" s="67" t="s">
        <v>374</v>
      </c>
      <c r="C572" s="68" t="s">
        <v>242</v>
      </c>
      <c r="D572" s="68" t="s">
        <v>262</v>
      </c>
      <c r="E572" s="68" t="s">
        <v>446</v>
      </c>
      <c r="F572" s="68">
        <v>122</v>
      </c>
      <c r="G572" s="131">
        <v>15.5</v>
      </c>
      <c r="H572" s="353">
        <v>15.5</v>
      </c>
    </row>
    <row r="573" spans="1:13" ht="33.75" x14ac:dyDescent="0.2">
      <c r="A573" s="114" t="s">
        <v>170</v>
      </c>
      <c r="B573" s="67" t="s">
        <v>374</v>
      </c>
      <c r="C573" s="68" t="s">
        <v>242</v>
      </c>
      <c r="D573" s="68" t="s">
        <v>262</v>
      </c>
      <c r="E573" s="68" t="s">
        <v>446</v>
      </c>
      <c r="F573" s="68">
        <v>129</v>
      </c>
      <c r="G573" s="131">
        <v>81.7</v>
      </c>
      <c r="H573" s="353">
        <v>81.7</v>
      </c>
      <c r="I573" s="148"/>
    </row>
    <row r="574" spans="1:13" x14ac:dyDescent="0.2">
      <c r="A574" s="83" t="s">
        <v>650</v>
      </c>
      <c r="B574" s="62" t="s">
        <v>374</v>
      </c>
      <c r="C574" s="68" t="s">
        <v>242</v>
      </c>
      <c r="D574" s="68" t="s">
        <v>262</v>
      </c>
      <c r="E574" s="68" t="s">
        <v>446</v>
      </c>
      <c r="F574" s="68" t="s">
        <v>150</v>
      </c>
      <c r="G574" s="131">
        <f>G575</f>
        <v>16.7</v>
      </c>
      <c r="H574" s="353">
        <f>H575</f>
        <v>19.2</v>
      </c>
    </row>
    <row r="575" spans="1:13" ht="22.5" x14ac:dyDescent="0.2">
      <c r="A575" s="83" t="s">
        <v>151</v>
      </c>
      <c r="B575" s="67" t="s">
        <v>374</v>
      </c>
      <c r="C575" s="68" t="s">
        <v>242</v>
      </c>
      <c r="D575" s="68" t="s">
        <v>262</v>
      </c>
      <c r="E575" s="68" t="s">
        <v>446</v>
      </c>
      <c r="F575" s="68" t="s">
        <v>152</v>
      </c>
      <c r="G575" s="131">
        <f>G577+G576</f>
        <v>16.7</v>
      </c>
      <c r="H575" s="353">
        <f>H577+H576</f>
        <v>19.2</v>
      </c>
    </row>
    <row r="576" spans="1:13" ht="22.5" x14ac:dyDescent="0.2">
      <c r="A576" s="115" t="s">
        <v>171</v>
      </c>
      <c r="B576" s="67" t="s">
        <v>374</v>
      </c>
      <c r="C576" s="68" t="s">
        <v>242</v>
      </c>
      <c r="D576" s="68" t="s">
        <v>262</v>
      </c>
      <c r="E576" s="68" t="s">
        <v>446</v>
      </c>
      <c r="F576" s="68">
        <v>242</v>
      </c>
      <c r="G576" s="131">
        <v>5</v>
      </c>
      <c r="H576" s="353">
        <v>5</v>
      </c>
    </row>
    <row r="577" spans="1:14" ht="22.5" x14ac:dyDescent="0.2">
      <c r="A577" s="115" t="s">
        <v>153</v>
      </c>
      <c r="B577" s="62" t="s">
        <v>374</v>
      </c>
      <c r="C577" s="68" t="s">
        <v>242</v>
      </c>
      <c r="D577" s="68" t="s">
        <v>262</v>
      </c>
      <c r="E577" s="68" t="s">
        <v>446</v>
      </c>
      <c r="F577" s="68" t="s">
        <v>154</v>
      </c>
      <c r="G577" s="131">
        <v>11.7</v>
      </c>
      <c r="H577" s="353">
        <v>14.2</v>
      </c>
    </row>
    <row r="578" spans="1:14" x14ac:dyDescent="0.2">
      <c r="A578" s="98" t="s">
        <v>456</v>
      </c>
      <c r="B578" s="106" t="s">
        <v>374</v>
      </c>
      <c r="C578" s="97" t="s">
        <v>262</v>
      </c>
      <c r="D578" s="99" t="s">
        <v>182</v>
      </c>
      <c r="E578" s="97" t="s">
        <v>183</v>
      </c>
      <c r="F578" s="97" t="s">
        <v>184</v>
      </c>
      <c r="G578" s="133">
        <f t="shared" ref="G578:H584" si="47">G579</f>
        <v>178.4</v>
      </c>
      <c r="H578" s="347">
        <f t="shared" si="47"/>
        <v>174.8</v>
      </c>
      <c r="I578" s="148"/>
      <c r="N578" s="229"/>
    </row>
    <row r="579" spans="1:14" x14ac:dyDescent="0.2">
      <c r="A579" s="98" t="s">
        <v>457</v>
      </c>
      <c r="B579" s="99" t="s">
        <v>374</v>
      </c>
      <c r="C579" s="97" t="s">
        <v>262</v>
      </c>
      <c r="D579" s="99" t="s">
        <v>262</v>
      </c>
      <c r="E579" s="97" t="s">
        <v>183</v>
      </c>
      <c r="F579" s="97" t="s">
        <v>184</v>
      </c>
      <c r="G579" s="133">
        <f t="shared" si="47"/>
        <v>178.4</v>
      </c>
      <c r="H579" s="347">
        <f t="shared" si="47"/>
        <v>174.8</v>
      </c>
    </row>
    <row r="580" spans="1:14" ht="21" x14ac:dyDescent="0.2">
      <c r="A580" s="118" t="s">
        <v>458</v>
      </c>
      <c r="B580" s="99" t="s">
        <v>374</v>
      </c>
      <c r="C580" s="97" t="s">
        <v>262</v>
      </c>
      <c r="D580" s="99" t="s">
        <v>262</v>
      </c>
      <c r="E580" s="97" t="s">
        <v>459</v>
      </c>
      <c r="F580" s="97"/>
      <c r="G580" s="133">
        <f t="shared" ref="G580:H582" si="48">G581</f>
        <v>178.4</v>
      </c>
      <c r="H580" s="347">
        <f t="shared" si="48"/>
        <v>174.8</v>
      </c>
    </row>
    <row r="581" spans="1:14" ht="33.75" x14ac:dyDescent="0.2">
      <c r="A581" s="83" t="s">
        <v>460</v>
      </c>
      <c r="B581" s="105" t="s">
        <v>374</v>
      </c>
      <c r="C581" s="84" t="s">
        <v>262</v>
      </c>
      <c r="D581" s="87" t="s">
        <v>262</v>
      </c>
      <c r="E581" s="84" t="s">
        <v>461</v>
      </c>
      <c r="F581" s="84" t="s">
        <v>184</v>
      </c>
      <c r="G581" s="135">
        <f t="shared" si="48"/>
        <v>178.4</v>
      </c>
      <c r="H581" s="349">
        <f t="shared" si="48"/>
        <v>174.8</v>
      </c>
    </row>
    <row r="582" spans="1:14" ht="33.75" x14ac:dyDescent="0.2">
      <c r="A582" s="100" t="s">
        <v>462</v>
      </c>
      <c r="B582" s="104" t="s">
        <v>374</v>
      </c>
      <c r="C582" s="102" t="s">
        <v>262</v>
      </c>
      <c r="D582" s="104" t="s">
        <v>262</v>
      </c>
      <c r="E582" s="102" t="s">
        <v>463</v>
      </c>
      <c r="F582" s="102"/>
      <c r="G582" s="134">
        <f t="shared" si="48"/>
        <v>178.4</v>
      </c>
      <c r="H582" s="348">
        <f t="shared" si="48"/>
        <v>174.8</v>
      </c>
    </row>
    <row r="583" spans="1:14" x14ac:dyDescent="0.2">
      <c r="A583" s="83" t="s">
        <v>650</v>
      </c>
      <c r="B583" s="87" t="s">
        <v>374</v>
      </c>
      <c r="C583" s="84" t="s">
        <v>262</v>
      </c>
      <c r="D583" s="87" t="s">
        <v>262</v>
      </c>
      <c r="E583" s="84" t="s">
        <v>463</v>
      </c>
      <c r="F583" s="84" t="s">
        <v>150</v>
      </c>
      <c r="G583" s="135">
        <f t="shared" si="47"/>
        <v>178.4</v>
      </c>
      <c r="H583" s="349">
        <f t="shared" si="47"/>
        <v>174.8</v>
      </c>
    </row>
    <row r="584" spans="1:14" ht="22.5" x14ac:dyDescent="0.2">
      <c r="A584" s="83" t="s">
        <v>151</v>
      </c>
      <c r="B584" s="105" t="s">
        <v>374</v>
      </c>
      <c r="C584" s="84" t="s">
        <v>262</v>
      </c>
      <c r="D584" s="87" t="s">
        <v>262</v>
      </c>
      <c r="E584" s="84" t="s">
        <v>463</v>
      </c>
      <c r="F584" s="84" t="s">
        <v>152</v>
      </c>
      <c r="G584" s="135">
        <f t="shared" si="47"/>
        <v>178.4</v>
      </c>
      <c r="H584" s="349">
        <f t="shared" si="47"/>
        <v>174.8</v>
      </c>
      <c r="I584" s="148"/>
    </row>
    <row r="585" spans="1:14" ht="22.5" x14ac:dyDescent="0.2">
      <c r="A585" s="115" t="s">
        <v>153</v>
      </c>
      <c r="B585" s="87" t="s">
        <v>374</v>
      </c>
      <c r="C585" s="84" t="s">
        <v>262</v>
      </c>
      <c r="D585" s="87" t="s">
        <v>262</v>
      </c>
      <c r="E585" s="84" t="s">
        <v>463</v>
      </c>
      <c r="F585" s="84" t="s">
        <v>154</v>
      </c>
      <c r="G585" s="144">
        <f>200*89.2%</f>
        <v>178.4</v>
      </c>
      <c r="H585" s="365">
        <f>200*87.4%</f>
        <v>174.8</v>
      </c>
    </row>
    <row r="586" spans="1:14" x14ac:dyDescent="0.2">
      <c r="A586" s="98" t="s">
        <v>185</v>
      </c>
      <c r="B586" s="99" t="s">
        <v>374</v>
      </c>
      <c r="C586" s="97">
        <v>10</v>
      </c>
      <c r="D586" s="99"/>
      <c r="E586" s="97"/>
      <c r="F586" s="97"/>
      <c r="G586" s="145">
        <f>G587</f>
        <v>1195.28</v>
      </c>
      <c r="H586" s="364">
        <f>H587</f>
        <v>1171.1600000000001</v>
      </c>
      <c r="I586" s="148"/>
      <c r="N586" s="229"/>
    </row>
    <row r="587" spans="1:14" x14ac:dyDescent="0.2">
      <c r="A587" s="98" t="s">
        <v>464</v>
      </c>
      <c r="B587" s="99" t="s">
        <v>374</v>
      </c>
      <c r="C587" s="97">
        <v>10</v>
      </c>
      <c r="D587" s="99" t="s">
        <v>188</v>
      </c>
      <c r="E587" s="97"/>
      <c r="F587" s="97"/>
      <c r="G587" s="145">
        <f>G588+G598</f>
        <v>1195.28</v>
      </c>
      <c r="H587" s="364">
        <f>H588+H598</f>
        <v>1171.1600000000001</v>
      </c>
    </row>
    <row r="588" spans="1:14" ht="21" x14ac:dyDescent="0.2">
      <c r="A588" s="98" t="s">
        <v>189</v>
      </c>
      <c r="B588" s="99" t="s">
        <v>374</v>
      </c>
      <c r="C588" s="97">
        <v>10</v>
      </c>
      <c r="D588" s="99" t="s">
        <v>188</v>
      </c>
      <c r="E588" s="97" t="s">
        <v>190</v>
      </c>
      <c r="F588" s="97"/>
      <c r="G588" s="133">
        <f>G589</f>
        <v>303.28000000000003</v>
      </c>
      <c r="H588" s="347">
        <f>H589</f>
        <v>297.16000000000003</v>
      </c>
    </row>
    <row r="589" spans="1:14" x14ac:dyDescent="0.2">
      <c r="A589" s="100" t="s">
        <v>226</v>
      </c>
      <c r="B589" s="104" t="s">
        <v>374</v>
      </c>
      <c r="C589" s="102">
        <v>10</v>
      </c>
      <c r="D589" s="104" t="s">
        <v>188</v>
      </c>
      <c r="E589" s="102" t="s">
        <v>227</v>
      </c>
      <c r="F589" s="102"/>
      <c r="G589" s="134">
        <f>G590</f>
        <v>303.28000000000003</v>
      </c>
      <c r="H589" s="348">
        <f>H590</f>
        <v>297.16000000000003</v>
      </c>
    </row>
    <row r="590" spans="1:14" ht="22.5" x14ac:dyDescent="0.2">
      <c r="A590" s="83" t="s">
        <v>237</v>
      </c>
      <c r="B590" s="87" t="s">
        <v>374</v>
      </c>
      <c r="C590" s="84">
        <v>10</v>
      </c>
      <c r="D590" s="87" t="s">
        <v>188</v>
      </c>
      <c r="E590" s="84" t="s">
        <v>238</v>
      </c>
      <c r="F590" s="84"/>
      <c r="G590" s="135">
        <f>G591+G594</f>
        <v>303.28000000000003</v>
      </c>
      <c r="H590" s="349">
        <f>H591+H594</f>
        <v>297.16000000000003</v>
      </c>
    </row>
    <row r="591" spans="1:14" x14ac:dyDescent="0.2">
      <c r="A591" s="83" t="s">
        <v>650</v>
      </c>
      <c r="B591" s="87" t="s">
        <v>374</v>
      </c>
      <c r="C591" s="84">
        <v>10</v>
      </c>
      <c r="D591" s="87" t="s">
        <v>188</v>
      </c>
      <c r="E591" s="84" t="s">
        <v>238</v>
      </c>
      <c r="F591" s="84" t="s">
        <v>150</v>
      </c>
      <c r="G591" s="135">
        <f>G592</f>
        <v>269.38400000000001</v>
      </c>
      <c r="H591" s="349">
        <f>H592</f>
        <v>263.94800000000004</v>
      </c>
    </row>
    <row r="592" spans="1:14" ht="22.5" x14ac:dyDescent="0.2">
      <c r="A592" s="83" t="s">
        <v>151</v>
      </c>
      <c r="B592" s="105" t="s">
        <v>374</v>
      </c>
      <c r="C592" s="84">
        <v>10</v>
      </c>
      <c r="D592" s="87" t="s">
        <v>188</v>
      </c>
      <c r="E592" s="84" t="s">
        <v>238</v>
      </c>
      <c r="F592" s="84" t="s">
        <v>152</v>
      </c>
      <c r="G592" s="135">
        <f>G593</f>
        <v>269.38400000000001</v>
      </c>
      <c r="H592" s="349">
        <f>H593</f>
        <v>263.94800000000004</v>
      </c>
    </row>
    <row r="593" spans="1:14" ht="22.5" x14ac:dyDescent="0.2">
      <c r="A593" s="115" t="s">
        <v>153</v>
      </c>
      <c r="B593" s="87" t="s">
        <v>374</v>
      </c>
      <c r="C593" s="84">
        <v>10</v>
      </c>
      <c r="D593" s="87" t="s">
        <v>188</v>
      </c>
      <c r="E593" s="84" t="s">
        <v>238</v>
      </c>
      <c r="F593" s="84" t="s">
        <v>154</v>
      </c>
      <c r="G593" s="144">
        <f>302*89.2%</f>
        <v>269.38400000000001</v>
      </c>
      <c r="H593" s="365">
        <f>302*87.4%</f>
        <v>263.94800000000004</v>
      </c>
    </row>
    <row r="594" spans="1:14" x14ac:dyDescent="0.2">
      <c r="A594" s="75" t="s">
        <v>197</v>
      </c>
      <c r="B594" s="87" t="s">
        <v>374</v>
      </c>
      <c r="C594" s="84">
        <v>10</v>
      </c>
      <c r="D594" s="87" t="s">
        <v>188</v>
      </c>
      <c r="E594" s="84" t="s">
        <v>238</v>
      </c>
      <c r="F594" s="84">
        <v>300</v>
      </c>
      <c r="G594" s="144">
        <f>G595+G597</f>
        <v>33.896000000000001</v>
      </c>
      <c r="H594" s="365">
        <f>H595+H597</f>
        <v>33.212000000000003</v>
      </c>
    </row>
    <row r="595" spans="1:14" ht="33.75" x14ac:dyDescent="0.2">
      <c r="A595" s="83" t="s">
        <v>572</v>
      </c>
      <c r="B595" s="87" t="s">
        <v>374</v>
      </c>
      <c r="C595" s="84">
        <v>10</v>
      </c>
      <c r="D595" s="87" t="s">
        <v>188</v>
      </c>
      <c r="E595" s="84" t="s">
        <v>238</v>
      </c>
      <c r="F595" s="84">
        <v>320</v>
      </c>
      <c r="G595" s="144">
        <f>G596</f>
        <v>26.76</v>
      </c>
      <c r="H595" s="365">
        <f>H596</f>
        <v>26.220000000000002</v>
      </c>
    </row>
    <row r="596" spans="1:14" ht="22.5" x14ac:dyDescent="0.2">
      <c r="A596" s="115" t="s">
        <v>651</v>
      </c>
      <c r="B596" s="105" t="s">
        <v>374</v>
      </c>
      <c r="C596" s="84">
        <v>10</v>
      </c>
      <c r="D596" s="87" t="s">
        <v>188</v>
      </c>
      <c r="E596" s="84" t="s">
        <v>238</v>
      </c>
      <c r="F596" s="84">
        <v>321</v>
      </c>
      <c r="G596" s="144">
        <f>30*89.2%</f>
        <v>26.76</v>
      </c>
      <c r="H596" s="365">
        <f>30*87.4%</f>
        <v>26.220000000000002</v>
      </c>
    </row>
    <row r="597" spans="1:14" x14ac:dyDescent="0.2">
      <c r="A597" s="115" t="s">
        <v>573</v>
      </c>
      <c r="B597" s="87" t="s">
        <v>374</v>
      </c>
      <c r="C597" s="84">
        <v>10</v>
      </c>
      <c r="D597" s="87" t="s">
        <v>188</v>
      </c>
      <c r="E597" s="84" t="s">
        <v>238</v>
      </c>
      <c r="F597" s="84">
        <v>340</v>
      </c>
      <c r="G597" s="144">
        <f>8*89.2%</f>
        <v>7.1360000000000001</v>
      </c>
      <c r="H597" s="365">
        <f>8*87.4%</f>
        <v>6.9920000000000009</v>
      </c>
    </row>
    <row r="598" spans="1:14" ht="21" x14ac:dyDescent="0.2">
      <c r="A598" s="116" t="s">
        <v>465</v>
      </c>
      <c r="B598" s="99" t="s">
        <v>374</v>
      </c>
      <c r="C598" s="97">
        <v>10</v>
      </c>
      <c r="D598" s="99" t="s">
        <v>188</v>
      </c>
      <c r="E598" s="97" t="s">
        <v>466</v>
      </c>
      <c r="F598" s="97"/>
      <c r="G598" s="145">
        <f t="shared" ref="G598:H601" si="49">G599</f>
        <v>892</v>
      </c>
      <c r="H598" s="364">
        <f t="shared" si="49"/>
        <v>874.00000000000011</v>
      </c>
    </row>
    <row r="599" spans="1:14" x14ac:dyDescent="0.2">
      <c r="A599" s="117" t="s">
        <v>467</v>
      </c>
      <c r="B599" s="104" t="s">
        <v>374</v>
      </c>
      <c r="C599" s="102">
        <v>10</v>
      </c>
      <c r="D599" s="104" t="s">
        <v>188</v>
      </c>
      <c r="E599" s="102" t="s">
        <v>468</v>
      </c>
      <c r="F599" s="102"/>
      <c r="G599" s="146">
        <f t="shared" si="49"/>
        <v>892</v>
      </c>
      <c r="H599" s="368">
        <f t="shared" si="49"/>
        <v>874.00000000000011</v>
      </c>
    </row>
    <row r="600" spans="1:14" x14ac:dyDescent="0.2">
      <c r="A600" s="75" t="s">
        <v>197</v>
      </c>
      <c r="B600" s="87" t="s">
        <v>374</v>
      </c>
      <c r="C600" s="84">
        <v>10</v>
      </c>
      <c r="D600" s="87" t="s">
        <v>188</v>
      </c>
      <c r="E600" s="84" t="s">
        <v>468</v>
      </c>
      <c r="F600" s="84">
        <v>300</v>
      </c>
      <c r="G600" s="144">
        <f t="shared" si="49"/>
        <v>892</v>
      </c>
      <c r="H600" s="365">
        <f t="shared" si="49"/>
        <v>874.00000000000011</v>
      </c>
    </row>
    <row r="601" spans="1:14" ht="33.75" x14ac:dyDescent="0.2">
      <c r="A601" s="83" t="s">
        <v>572</v>
      </c>
      <c r="B601" s="87" t="s">
        <v>374</v>
      </c>
      <c r="C601" s="84">
        <v>10</v>
      </c>
      <c r="D601" s="87" t="s">
        <v>188</v>
      </c>
      <c r="E601" s="84" t="s">
        <v>468</v>
      </c>
      <c r="F601" s="84">
        <v>320</v>
      </c>
      <c r="G601" s="144">
        <f t="shared" si="49"/>
        <v>892</v>
      </c>
      <c r="H601" s="365">
        <f t="shared" si="49"/>
        <v>874.00000000000011</v>
      </c>
    </row>
    <row r="602" spans="1:14" x14ac:dyDescent="0.2">
      <c r="A602" s="115" t="s">
        <v>469</v>
      </c>
      <c r="B602" s="87" t="s">
        <v>374</v>
      </c>
      <c r="C602" s="84">
        <v>10</v>
      </c>
      <c r="D602" s="87" t="s">
        <v>188</v>
      </c>
      <c r="E602" s="84" t="s">
        <v>468</v>
      </c>
      <c r="F602" s="84">
        <v>322</v>
      </c>
      <c r="G602" s="144">
        <f>1000*89.2%</f>
        <v>892</v>
      </c>
      <c r="H602" s="365">
        <f>1000*87.4%</f>
        <v>874.00000000000011</v>
      </c>
    </row>
    <row r="603" spans="1:14" x14ac:dyDescent="0.2">
      <c r="A603" s="98" t="s">
        <v>470</v>
      </c>
      <c r="B603" s="99" t="s">
        <v>374</v>
      </c>
      <c r="C603" s="97" t="s">
        <v>471</v>
      </c>
      <c r="D603" s="99" t="s">
        <v>182</v>
      </c>
      <c r="E603" s="97" t="s">
        <v>183</v>
      </c>
      <c r="F603" s="97" t="s">
        <v>184</v>
      </c>
      <c r="G603" s="145">
        <f t="shared" ref="G603:H608" si="50">G604</f>
        <v>267.60000000000002</v>
      </c>
      <c r="H603" s="364">
        <f t="shared" si="50"/>
        <v>262.20000000000005</v>
      </c>
      <c r="I603" s="148"/>
      <c r="N603" s="229"/>
    </row>
    <row r="604" spans="1:14" x14ac:dyDescent="0.2">
      <c r="A604" s="98" t="s">
        <v>472</v>
      </c>
      <c r="B604" s="106" t="s">
        <v>374</v>
      </c>
      <c r="C604" s="97" t="s">
        <v>471</v>
      </c>
      <c r="D604" s="99" t="s">
        <v>286</v>
      </c>
      <c r="E604" s="97" t="s">
        <v>183</v>
      </c>
      <c r="F604" s="97" t="s">
        <v>184</v>
      </c>
      <c r="G604" s="145">
        <f t="shared" si="50"/>
        <v>267.60000000000002</v>
      </c>
      <c r="H604" s="364">
        <f t="shared" si="50"/>
        <v>262.20000000000005</v>
      </c>
    </row>
    <row r="605" spans="1:14" ht="31.5" x14ac:dyDescent="0.2">
      <c r="A605" s="98" t="s">
        <v>473</v>
      </c>
      <c r="B605" s="99" t="s">
        <v>374</v>
      </c>
      <c r="C605" s="97" t="s">
        <v>471</v>
      </c>
      <c r="D605" s="99" t="s">
        <v>286</v>
      </c>
      <c r="E605" s="97" t="s">
        <v>474</v>
      </c>
      <c r="F605" s="97"/>
      <c r="G605" s="145">
        <f t="shared" si="50"/>
        <v>267.60000000000002</v>
      </c>
      <c r="H605" s="364">
        <f t="shared" si="50"/>
        <v>262.20000000000005</v>
      </c>
    </row>
    <row r="606" spans="1:14" ht="22.5" x14ac:dyDescent="0.2">
      <c r="A606" s="100" t="s">
        <v>475</v>
      </c>
      <c r="B606" s="104" t="s">
        <v>374</v>
      </c>
      <c r="C606" s="102" t="s">
        <v>471</v>
      </c>
      <c r="D606" s="104" t="s">
        <v>286</v>
      </c>
      <c r="E606" s="102" t="s">
        <v>476</v>
      </c>
      <c r="F606" s="102"/>
      <c r="G606" s="146">
        <f t="shared" si="50"/>
        <v>267.60000000000002</v>
      </c>
      <c r="H606" s="368">
        <f t="shared" si="50"/>
        <v>262.20000000000005</v>
      </c>
    </row>
    <row r="607" spans="1:14" x14ac:dyDescent="0.2">
      <c r="A607" s="83" t="s">
        <v>650</v>
      </c>
      <c r="B607" s="87" t="s">
        <v>374</v>
      </c>
      <c r="C607" s="84" t="s">
        <v>471</v>
      </c>
      <c r="D607" s="87" t="s">
        <v>286</v>
      </c>
      <c r="E607" s="84" t="s">
        <v>476</v>
      </c>
      <c r="F607" s="84">
        <v>200</v>
      </c>
      <c r="G607" s="144">
        <f t="shared" si="50"/>
        <v>267.60000000000002</v>
      </c>
      <c r="H607" s="365">
        <f t="shared" si="50"/>
        <v>262.20000000000005</v>
      </c>
    </row>
    <row r="608" spans="1:14" ht="22.5" x14ac:dyDescent="0.2">
      <c r="A608" s="83" t="s">
        <v>151</v>
      </c>
      <c r="B608" s="105" t="s">
        <v>374</v>
      </c>
      <c r="C608" s="84" t="s">
        <v>471</v>
      </c>
      <c r="D608" s="87" t="s">
        <v>286</v>
      </c>
      <c r="E608" s="84" t="s">
        <v>476</v>
      </c>
      <c r="F608" s="84">
        <v>240</v>
      </c>
      <c r="G608" s="144">
        <f t="shared" si="50"/>
        <v>267.60000000000002</v>
      </c>
      <c r="H608" s="365">
        <f t="shared" si="50"/>
        <v>262.20000000000005</v>
      </c>
    </row>
    <row r="609" spans="1:13" ht="22.5" x14ac:dyDescent="0.2">
      <c r="A609" s="115" t="s">
        <v>153</v>
      </c>
      <c r="B609" s="87" t="s">
        <v>374</v>
      </c>
      <c r="C609" s="84" t="s">
        <v>471</v>
      </c>
      <c r="D609" s="87" t="s">
        <v>286</v>
      </c>
      <c r="E609" s="84" t="s">
        <v>476</v>
      </c>
      <c r="F609" s="84">
        <v>244</v>
      </c>
      <c r="G609" s="144">
        <f>300*89.2%</f>
        <v>267.60000000000002</v>
      </c>
      <c r="H609" s="365">
        <f>300*87.4%</f>
        <v>262.20000000000005</v>
      </c>
    </row>
    <row r="610" spans="1:13" x14ac:dyDescent="0.2">
      <c r="A610" s="98" t="s">
        <v>477</v>
      </c>
      <c r="B610" s="99" t="s">
        <v>374</v>
      </c>
      <c r="C610" s="97">
        <v>12</v>
      </c>
      <c r="D610" s="99"/>
      <c r="E610" s="97"/>
      <c r="F610" s="97"/>
      <c r="G610" s="145">
        <f t="shared" ref="G610:H615" si="51">G611</f>
        <v>89.2</v>
      </c>
      <c r="H610" s="364">
        <f t="shared" si="51"/>
        <v>87.4</v>
      </c>
      <c r="I610" s="148"/>
      <c r="M610" s="148"/>
    </row>
    <row r="611" spans="1:13" x14ac:dyDescent="0.2">
      <c r="A611" s="98" t="s">
        <v>478</v>
      </c>
      <c r="B611" s="99" t="s">
        <v>374</v>
      </c>
      <c r="C611" s="97">
        <v>12</v>
      </c>
      <c r="D611" s="99" t="s">
        <v>254</v>
      </c>
      <c r="E611" s="97"/>
      <c r="F611" s="97"/>
      <c r="G611" s="145">
        <f t="shared" si="51"/>
        <v>89.2</v>
      </c>
      <c r="H611" s="364">
        <f t="shared" si="51"/>
        <v>87.4</v>
      </c>
    </row>
    <row r="612" spans="1:13" ht="31.5" x14ac:dyDescent="0.2">
      <c r="A612" s="98" t="s">
        <v>479</v>
      </c>
      <c r="B612" s="99" t="s">
        <v>374</v>
      </c>
      <c r="C612" s="97">
        <v>12</v>
      </c>
      <c r="D612" s="99" t="s">
        <v>254</v>
      </c>
      <c r="E612" s="97" t="s">
        <v>480</v>
      </c>
      <c r="F612" s="97"/>
      <c r="G612" s="145">
        <f t="shared" si="51"/>
        <v>89.2</v>
      </c>
      <c r="H612" s="364">
        <f t="shared" si="51"/>
        <v>87.4</v>
      </c>
    </row>
    <row r="613" spans="1:13" x14ac:dyDescent="0.2">
      <c r="A613" s="100" t="s">
        <v>481</v>
      </c>
      <c r="B613" s="104" t="s">
        <v>374</v>
      </c>
      <c r="C613" s="102">
        <v>12</v>
      </c>
      <c r="D613" s="104" t="s">
        <v>254</v>
      </c>
      <c r="E613" s="102" t="s">
        <v>482</v>
      </c>
      <c r="F613" s="102"/>
      <c r="G613" s="146">
        <f t="shared" si="51"/>
        <v>89.2</v>
      </c>
      <c r="H613" s="368">
        <f t="shared" si="51"/>
        <v>87.4</v>
      </c>
    </row>
    <row r="614" spans="1:13" x14ac:dyDescent="0.2">
      <c r="A614" s="83" t="s">
        <v>650</v>
      </c>
      <c r="B614" s="87" t="s">
        <v>374</v>
      </c>
      <c r="C614" s="84">
        <v>12</v>
      </c>
      <c r="D614" s="87" t="s">
        <v>254</v>
      </c>
      <c r="E614" s="84" t="s">
        <v>482</v>
      </c>
      <c r="F614" s="84">
        <v>200</v>
      </c>
      <c r="G614" s="144">
        <f t="shared" si="51"/>
        <v>89.2</v>
      </c>
      <c r="H614" s="365">
        <f t="shared" si="51"/>
        <v>87.4</v>
      </c>
    </row>
    <row r="615" spans="1:13" ht="22.5" x14ac:dyDescent="0.2">
      <c r="A615" s="83" t="s">
        <v>151</v>
      </c>
      <c r="B615" s="87" t="s">
        <v>374</v>
      </c>
      <c r="C615" s="84">
        <v>12</v>
      </c>
      <c r="D615" s="87" t="s">
        <v>254</v>
      </c>
      <c r="E615" s="84" t="s">
        <v>482</v>
      </c>
      <c r="F615" s="84">
        <v>240</v>
      </c>
      <c r="G615" s="144">
        <f t="shared" si="51"/>
        <v>89.2</v>
      </c>
      <c r="H615" s="365">
        <f t="shared" si="51"/>
        <v>87.4</v>
      </c>
    </row>
    <row r="616" spans="1:13" ht="22.5" x14ac:dyDescent="0.2">
      <c r="A616" s="115" t="s">
        <v>153</v>
      </c>
      <c r="B616" s="87" t="s">
        <v>374</v>
      </c>
      <c r="C616" s="84">
        <v>12</v>
      </c>
      <c r="D616" s="87" t="s">
        <v>254</v>
      </c>
      <c r="E616" s="84" t="s">
        <v>482</v>
      </c>
      <c r="F616" s="84">
        <v>244</v>
      </c>
      <c r="G616" s="144">
        <f>100*89.2%</f>
        <v>89.2</v>
      </c>
      <c r="H616" s="365">
        <f>100*87.4%</f>
        <v>87.4</v>
      </c>
    </row>
    <row r="617" spans="1:13" ht="21" x14ac:dyDescent="0.2">
      <c r="A617" s="112" t="s">
        <v>483</v>
      </c>
      <c r="B617" s="110" t="s">
        <v>484</v>
      </c>
      <c r="C617" s="109"/>
      <c r="D617" s="110"/>
      <c r="E617" s="110"/>
      <c r="F617" s="109"/>
      <c r="G617" s="132">
        <f>G618</f>
        <v>1536.3807999999999</v>
      </c>
      <c r="H617" s="346">
        <f>H618</f>
        <v>1505.3776000000003</v>
      </c>
      <c r="I617" s="233"/>
    </row>
    <row r="618" spans="1:13" x14ac:dyDescent="0.2">
      <c r="A618" s="98" t="s">
        <v>485</v>
      </c>
      <c r="B618" s="99" t="s">
        <v>484</v>
      </c>
      <c r="C618" s="97" t="s">
        <v>122</v>
      </c>
      <c r="D618" s="99" t="s">
        <v>182</v>
      </c>
      <c r="E618" s="97" t="s">
        <v>183</v>
      </c>
      <c r="F618" s="97" t="s">
        <v>184</v>
      </c>
      <c r="G618" s="133">
        <f>G619+G626</f>
        <v>1536.3807999999999</v>
      </c>
      <c r="H618" s="347">
        <f>H619+H626</f>
        <v>1505.3776000000003</v>
      </c>
      <c r="I618" s="148"/>
      <c r="J618" s="148"/>
    </row>
    <row r="619" spans="1:13" ht="21" x14ac:dyDescent="0.2">
      <c r="A619" s="98" t="s">
        <v>486</v>
      </c>
      <c r="B619" s="99" t="s">
        <v>484</v>
      </c>
      <c r="C619" s="97" t="s">
        <v>122</v>
      </c>
      <c r="D619" s="99" t="s">
        <v>254</v>
      </c>
      <c r="E619" s="97" t="s">
        <v>183</v>
      </c>
      <c r="F619" s="97" t="s">
        <v>184</v>
      </c>
      <c r="G619" s="133">
        <f t="shared" ref="G619:H622" si="52">G620</f>
        <v>821.35360000000003</v>
      </c>
      <c r="H619" s="347">
        <f t="shared" si="52"/>
        <v>804.77920000000017</v>
      </c>
      <c r="I619" s="148"/>
    </row>
    <row r="620" spans="1:13" x14ac:dyDescent="0.2">
      <c r="A620" s="100" t="s">
        <v>487</v>
      </c>
      <c r="B620" s="104" t="s">
        <v>484</v>
      </c>
      <c r="C620" s="102" t="s">
        <v>122</v>
      </c>
      <c r="D620" s="104" t="s">
        <v>254</v>
      </c>
      <c r="E620" s="102" t="s">
        <v>488</v>
      </c>
      <c r="F620" s="102" t="s">
        <v>184</v>
      </c>
      <c r="G620" s="134">
        <f t="shared" si="52"/>
        <v>821.35360000000003</v>
      </c>
      <c r="H620" s="348">
        <f t="shared" si="52"/>
        <v>804.77920000000017</v>
      </c>
    </row>
    <row r="621" spans="1:13" ht="22.5" x14ac:dyDescent="0.2">
      <c r="A621" s="114" t="s">
        <v>230</v>
      </c>
      <c r="B621" s="87" t="s">
        <v>484</v>
      </c>
      <c r="C621" s="84" t="s">
        <v>122</v>
      </c>
      <c r="D621" s="87" t="s">
        <v>254</v>
      </c>
      <c r="E621" s="84" t="s">
        <v>489</v>
      </c>
      <c r="F621" s="84"/>
      <c r="G621" s="135">
        <f t="shared" si="52"/>
        <v>821.35360000000003</v>
      </c>
      <c r="H621" s="349">
        <f t="shared" si="52"/>
        <v>804.77920000000017</v>
      </c>
    </row>
    <row r="622" spans="1:13" ht="33.75" x14ac:dyDescent="0.2">
      <c r="A622" s="83" t="s">
        <v>139</v>
      </c>
      <c r="B622" s="87" t="s">
        <v>484</v>
      </c>
      <c r="C622" s="84" t="s">
        <v>122</v>
      </c>
      <c r="D622" s="87" t="s">
        <v>254</v>
      </c>
      <c r="E622" s="84" t="s">
        <v>489</v>
      </c>
      <c r="F622" s="84" t="s">
        <v>140</v>
      </c>
      <c r="G622" s="135">
        <f t="shared" si="52"/>
        <v>821.35360000000003</v>
      </c>
      <c r="H622" s="349">
        <f t="shared" si="52"/>
        <v>804.77920000000017</v>
      </c>
    </row>
    <row r="623" spans="1:13" x14ac:dyDescent="0.2">
      <c r="A623" s="83" t="s">
        <v>168</v>
      </c>
      <c r="B623" s="87" t="s">
        <v>484</v>
      </c>
      <c r="C623" s="84" t="s">
        <v>122</v>
      </c>
      <c r="D623" s="87" t="s">
        <v>254</v>
      </c>
      <c r="E623" s="84" t="s">
        <v>489</v>
      </c>
      <c r="F623" s="84" t="s">
        <v>232</v>
      </c>
      <c r="G623" s="135">
        <f>G624+G625</f>
        <v>821.35360000000003</v>
      </c>
      <c r="H623" s="349">
        <f>H624+H625</f>
        <v>804.77920000000017</v>
      </c>
    </row>
    <row r="624" spans="1:13" x14ac:dyDescent="0.2">
      <c r="A624" s="114" t="s">
        <v>169</v>
      </c>
      <c r="B624" s="87" t="s">
        <v>484</v>
      </c>
      <c r="C624" s="84" t="s">
        <v>122</v>
      </c>
      <c r="D624" s="87" t="s">
        <v>254</v>
      </c>
      <c r="E624" s="84" t="s">
        <v>489</v>
      </c>
      <c r="F624" s="84" t="s">
        <v>233</v>
      </c>
      <c r="G624" s="135">
        <f>707.2*89.2%</f>
        <v>630.82240000000002</v>
      </c>
      <c r="H624" s="349">
        <f>707.2*87.4%</f>
        <v>618.09280000000012</v>
      </c>
    </row>
    <row r="625" spans="1:13" ht="33.75" x14ac:dyDescent="0.2">
      <c r="A625" s="114" t="s">
        <v>170</v>
      </c>
      <c r="B625" s="87" t="s">
        <v>484</v>
      </c>
      <c r="C625" s="84" t="s">
        <v>122</v>
      </c>
      <c r="D625" s="87" t="s">
        <v>254</v>
      </c>
      <c r="E625" s="84" t="s">
        <v>489</v>
      </c>
      <c r="F625" s="84">
        <v>129</v>
      </c>
      <c r="G625" s="135">
        <f>213.6*89.2%</f>
        <v>190.53119999999998</v>
      </c>
      <c r="H625" s="349">
        <f>213.6*87.4%</f>
        <v>186.68640000000002</v>
      </c>
    </row>
    <row r="626" spans="1:13" ht="31.5" x14ac:dyDescent="0.2">
      <c r="A626" s="98" t="s">
        <v>490</v>
      </c>
      <c r="B626" s="99" t="s">
        <v>484</v>
      </c>
      <c r="C626" s="97" t="s">
        <v>122</v>
      </c>
      <c r="D626" s="99" t="s">
        <v>188</v>
      </c>
      <c r="E626" s="97" t="s">
        <v>183</v>
      </c>
      <c r="F626" s="97" t="s">
        <v>184</v>
      </c>
      <c r="G626" s="133">
        <f>G627</f>
        <v>715.02719999999988</v>
      </c>
      <c r="H626" s="347">
        <f>H627</f>
        <v>700.59840000000008</v>
      </c>
    </row>
    <row r="627" spans="1:13" x14ac:dyDescent="0.2">
      <c r="A627" s="100" t="s">
        <v>505</v>
      </c>
      <c r="B627" s="104" t="s">
        <v>484</v>
      </c>
      <c r="C627" s="102" t="s">
        <v>122</v>
      </c>
      <c r="D627" s="104" t="s">
        <v>188</v>
      </c>
      <c r="E627" s="102" t="s">
        <v>491</v>
      </c>
      <c r="F627" s="102" t="s">
        <v>184</v>
      </c>
      <c r="G627" s="134">
        <f>G628+G632+G635</f>
        <v>715.02719999999988</v>
      </c>
      <c r="H627" s="348">
        <f>H628+H632+H635</f>
        <v>700.59840000000008</v>
      </c>
    </row>
    <row r="628" spans="1:13" ht="33.75" x14ac:dyDescent="0.2">
      <c r="A628" s="83" t="s">
        <v>139</v>
      </c>
      <c r="B628" s="87" t="s">
        <v>484</v>
      </c>
      <c r="C628" s="84">
        <v>1</v>
      </c>
      <c r="D628" s="87" t="s">
        <v>188</v>
      </c>
      <c r="E628" s="84" t="s">
        <v>492</v>
      </c>
      <c r="F628" s="84" t="s">
        <v>140</v>
      </c>
      <c r="G628" s="135">
        <f>G629</f>
        <v>625.82719999999995</v>
      </c>
      <c r="H628" s="349">
        <f>H629</f>
        <v>613.19840000000011</v>
      </c>
    </row>
    <row r="629" spans="1:13" x14ac:dyDescent="0.2">
      <c r="A629" s="83" t="s">
        <v>168</v>
      </c>
      <c r="B629" s="87" t="s">
        <v>484</v>
      </c>
      <c r="C629" s="84" t="s">
        <v>122</v>
      </c>
      <c r="D629" s="87" t="s">
        <v>188</v>
      </c>
      <c r="E629" s="84" t="s">
        <v>492</v>
      </c>
      <c r="F629" s="84" t="s">
        <v>232</v>
      </c>
      <c r="G629" s="135">
        <f>G630+G631</f>
        <v>625.82719999999995</v>
      </c>
      <c r="H629" s="349">
        <f>H630+H631</f>
        <v>613.19840000000011</v>
      </c>
    </row>
    <row r="630" spans="1:13" x14ac:dyDescent="0.2">
      <c r="A630" s="114" t="s">
        <v>169</v>
      </c>
      <c r="B630" s="87" t="s">
        <v>484</v>
      </c>
      <c r="C630" s="84" t="s">
        <v>122</v>
      </c>
      <c r="D630" s="87" t="s">
        <v>188</v>
      </c>
      <c r="E630" s="84" t="s">
        <v>492</v>
      </c>
      <c r="F630" s="84" t="s">
        <v>233</v>
      </c>
      <c r="G630" s="135">
        <f>538.9*89.2%</f>
        <v>480.69880000000001</v>
      </c>
      <c r="H630" s="349">
        <f>538.9*87.4%</f>
        <v>470.99860000000007</v>
      </c>
    </row>
    <row r="631" spans="1:13" ht="33.75" x14ac:dyDescent="0.2">
      <c r="A631" s="114" t="s">
        <v>170</v>
      </c>
      <c r="B631" s="87" t="s">
        <v>484</v>
      </c>
      <c r="C631" s="84" t="s">
        <v>122</v>
      </c>
      <c r="D631" s="87" t="s">
        <v>188</v>
      </c>
      <c r="E631" s="84" t="s">
        <v>492</v>
      </c>
      <c r="F631" s="84">
        <v>129</v>
      </c>
      <c r="G631" s="135">
        <f>162.7*89.2%</f>
        <v>145.1284</v>
      </c>
      <c r="H631" s="349">
        <f>162.7*87.4%</f>
        <v>142.19980000000001</v>
      </c>
    </row>
    <row r="632" spans="1:13" ht="33.75" x14ac:dyDescent="0.2">
      <c r="A632" s="83" t="s">
        <v>139</v>
      </c>
      <c r="B632" s="87" t="s">
        <v>484</v>
      </c>
      <c r="C632" s="84" t="s">
        <v>122</v>
      </c>
      <c r="D632" s="87" t="s">
        <v>188</v>
      </c>
      <c r="E632" s="84" t="s">
        <v>493</v>
      </c>
      <c r="F632" s="84">
        <v>100</v>
      </c>
      <c r="G632" s="135">
        <f>G633</f>
        <v>16.412800000000001</v>
      </c>
      <c r="H632" s="349">
        <f>H633</f>
        <v>16.081600000000002</v>
      </c>
    </row>
    <row r="633" spans="1:13" s="59" customFormat="1" ht="11.25" x14ac:dyDescent="0.2">
      <c r="A633" s="83" t="s">
        <v>168</v>
      </c>
      <c r="B633" s="87" t="s">
        <v>484</v>
      </c>
      <c r="C633" s="84" t="s">
        <v>122</v>
      </c>
      <c r="D633" s="87" t="s">
        <v>188</v>
      </c>
      <c r="E633" s="84" t="s">
        <v>493</v>
      </c>
      <c r="F633" s="84">
        <v>120</v>
      </c>
      <c r="G633" s="135">
        <f>G634</f>
        <v>16.412800000000001</v>
      </c>
      <c r="H633" s="349">
        <f>H634</f>
        <v>16.081600000000002</v>
      </c>
      <c r="I633" s="157"/>
      <c r="J633" s="89"/>
      <c r="K633" s="89"/>
      <c r="L633" s="89"/>
      <c r="M633" s="89"/>
    </row>
    <row r="634" spans="1:13" ht="22.5" x14ac:dyDescent="0.2">
      <c r="A634" s="69" t="s">
        <v>293</v>
      </c>
      <c r="B634" s="87" t="s">
        <v>484</v>
      </c>
      <c r="C634" s="84" t="s">
        <v>122</v>
      </c>
      <c r="D634" s="87" t="s">
        <v>188</v>
      </c>
      <c r="E634" s="84" t="s">
        <v>493</v>
      </c>
      <c r="F634" s="84" t="s">
        <v>295</v>
      </c>
      <c r="G634" s="135">
        <f>18.4*89.2%</f>
        <v>16.412800000000001</v>
      </c>
      <c r="H634" s="349">
        <f>18.4*87.4%</f>
        <v>16.081600000000002</v>
      </c>
    </row>
    <row r="635" spans="1:13" x14ac:dyDescent="0.2">
      <c r="A635" s="83" t="s">
        <v>650</v>
      </c>
      <c r="B635" s="87" t="s">
        <v>484</v>
      </c>
      <c r="C635" s="84" t="s">
        <v>122</v>
      </c>
      <c r="D635" s="87" t="s">
        <v>188</v>
      </c>
      <c r="E635" s="84" t="s">
        <v>493</v>
      </c>
      <c r="F635" s="84">
        <v>200</v>
      </c>
      <c r="G635" s="135">
        <f>G636</f>
        <v>72.787199999999999</v>
      </c>
      <c r="H635" s="349">
        <f>H636</f>
        <v>71.318400000000011</v>
      </c>
    </row>
    <row r="636" spans="1:13" ht="22.5" x14ac:dyDescent="0.2">
      <c r="A636" s="83" t="s">
        <v>151</v>
      </c>
      <c r="B636" s="87" t="s">
        <v>484</v>
      </c>
      <c r="C636" s="84" t="s">
        <v>122</v>
      </c>
      <c r="D636" s="87" t="s">
        <v>188</v>
      </c>
      <c r="E636" s="84" t="s">
        <v>493</v>
      </c>
      <c r="F636" s="84">
        <v>240</v>
      </c>
      <c r="G636" s="135">
        <f>G638+G637</f>
        <v>72.787199999999999</v>
      </c>
      <c r="H636" s="349">
        <f>H638+H637</f>
        <v>71.318400000000011</v>
      </c>
    </row>
    <row r="637" spans="1:13" ht="22.5" x14ac:dyDescent="0.2">
      <c r="A637" s="115" t="s">
        <v>171</v>
      </c>
      <c r="B637" s="87" t="s">
        <v>484</v>
      </c>
      <c r="C637" s="84" t="s">
        <v>122</v>
      </c>
      <c r="D637" s="87" t="s">
        <v>188</v>
      </c>
      <c r="E637" s="84" t="s">
        <v>493</v>
      </c>
      <c r="F637" s="84">
        <v>242</v>
      </c>
      <c r="G637" s="135">
        <f>24.8*89.2%</f>
        <v>22.121600000000001</v>
      </c>
      <c r="H637" s="349">
        <f>24.8*87.4%</f>
        <v>21.675200000000004</v>
      </c>
    </row>
    <row r="638" spans="1:13" ht="22.5" x14ac:dyDescent="0.2">
      <c r="A638" s="115" t="s">
        <v>153</v>
      </c>
      <c r="B638" s="87" t="s">
        <v>484</v>
      </c>
      <c r="C638" s="84" t="s">
        <v>122</v>
      </c>
      <c r="D638" s="87" t="s">
        <v>188</v>
      </c>
      <c r="E638" s="84" t="s">
        <v>493</v>
      </c>
      <c r="F638" s="84" t="s">
        <v>154</v>
      </c>
      <c r="G638" s="135">
        <f>56.8*89.2%</f>
        <v>50.665599999999998</v>
      </c>
      <c r="H638" s="349">
        <f>56.8*87.4%</f>
        <v>49.643200000000007</v>
      </c>
    </row>
    <row r="639" spans="1:13" ht="21" x14ac:dyDescent="0.2">
      <c r="A639" s="112" t="s">
        <v>494</v>
      </c>
      <c r="B639" s="108" t="s">
        <v>495</v>
      </c>
      <c r="C639" s="109"/>
      <c r="D639" s="110"/>
      <c r="E639" s="109"/>
      <c r="F639" s="109"/>
      <c r="G639" s="147">
        <f t="shared" ref="G639:H641" si="53">G640</f>
        <v>1344.5116</v>
      </c>
      <c r="H639" s="369">
        <f t="shared" si="53"/>
        <v>1317.3802000000003</v>
      </c>
      <c r="I639" s="233"/>
    </row>
    <row r="640" spans="1:13" x14ac:dyDescent="0.2">
      <c r="A640" s="98" t="s">
        <v>485</v>
      </c>
      <c r="B640" s="99" t="s">
        <v>495</v>
      </c>
      <c r="C640" s="97" t="s">
        <v>122</v>
      </c>
      <c r="D640" s="99"/>
      <c r="E640" s="97"/>
      <c r="F640" s="97"/>
      <c r="G640" s="145">
        <f t="shared" si="53"/>
        <v>1344.5116</v>
      </c>
      <c r="H640" s="364">
        <f t="shared" si="53"/>
        <v>1317.3802000000003</v>
      </c>
      <c r="I640" s="210"/>
      <c r="J640" s="210"/>
    </row>
    <row r="641" spans="1:9" ht="21" x14ac:dyDescent="0.2">
      <c r="A641" s="98" t="s">
        <v>323</v>
      </c>
      <c r="B641" s="106" t="s">
        <v>495</v>
      </c>
      <c r="C641" s="97" t="s">
        <v>122</v>
      </c>
      <c r="D641" s="99" t="s">
        <v>222</v>
      </c>
      <c r="E641" s="97" t="s">
        <v>183</v>
      </c>
      <c r="F641" s="97" t="s">
        <v>184</v>
      </c>
      <c r="G641" s="133">
        <f t="shared" si="53"/>
        <v>1344.5116</v>
      </c>
      <c r="H641" s="347">
        <f t="shared" si="53"/>
        <v>1317.3802000000003</v>
      </c>
    </row>
    <row r="642" spans="1:9" x14ac:dyDescent="0.2">
      <c r="A642" s="113" t="s">
        <v>496</v>
      </c>
      <c r="B642" s="111" t="s">
        <v>495</v>
      </c>
      <c r="C642" s="102" t="s">
        <v>122</v>
      </c>
      <c r="D642" s="104" t="s">
        <v>222</v>
      </c>
      <c r="E642" s="102" t="s">
        <v>497</v>
      </c>
      <c r="F642" s="102" t="s">
        <v>184</v>
      </c>
      <c r="G642" s="134">
        <f>G643+G647</f>
        <v>1344.5116</v>
      </c>
      <c r="H642" s="348">
        <f>H643+H647</f>
        <v>1317.3802000000003</v>
      </c>
    </row>
    <row r="643" spans="1:9" ht="33.75" x14ac:dyDescent="0.2">
      <c r="A643" s="83" t="s">
        <v>139</v>
      </c>
      <c r="B643" s="105" t="s">
        <v>495</v>
      </c>
      <c r="C643" s="84" t="s">
        <v>122</v>
      </c>
      <c r="D643" s="87" t="s">
        <v>222</v>
      </c>
      <c r="E643" s="87" t="s">
        <v>498</v>
      </c>
      <c r="F643" s="84" t="s">
        <v>140</v>
      </c>
      <c r="G643" s="135">
        <f>G644</f>
        <v>1268.6916000000001</v>
      </c>
      <c r="H643" s="349">
        <f>H644</f>
        <v>1243.0902000000003</v>
      </c>
    </row>
    <row r="644" spans="1:9" x14ac:dyDescent="0.2">
      <c r="A644" s="83" t="s">
        <v>168</v>
      </c>
      <c r="B644" s="105" t="s">
        <v>495</v>
      </c>
      <c r="C644" s="84" t="s">
        <v>122</v>
      </c>
      <c r="D644" s="87" t="s">
        <v>222</v>
      </c>
      <c r="E644" s="87" t="s">
        <v>498</v>
      </c>
      <c r="F644" s="84" t="s">
        <v>232</v>
      </c>
      <c r="G644" s="135">
        <f>G645+G646</f>
        <v>1268.6916000000001</v>
      </c>
      <c r="H644" s="349">
        <f>H645+H646</f>
        <v>1243.0902000000003</v>
      </c>
    </row>
    <row r="645" spans="1:9" x14ac:dyDescent="0.2">
      <c r="A645" s="114" t="s">
        <v>169</v>
      </c>
      <c r="B645" s="105" t="s">
        <v>495</v>
      </c>
      <c r="C645" s="84" t="s">
        <v>122</v>
      </c>
      <c r="D645" s="87" t="s">
        <v>222</v>
      </c>
      <c r="E645" s="87" t="s">
        <v>498</v>
      </c>
      <c r="F645" s="84" t="s">
        <v>233</v>
      </c>
      <c r="G645" s="135">
        <f>1092.4*89.2%</f>
        <v>974.4208000000001</v>
      </c>
      <c r="H645" s="349">
        <f>1092.4*87.4%</f>
        <v>954.75760000000025</v>
      </c>
    </row>
    <row r="646" spans="1:9" ht="33.75" x14ac:dyDescent="0.2">
      <c r="A646" s="114" t="s">
        <v>170</v>
      </c>
      <c r="B646" s="105" t="s">
        <v>495</v>
      </c>
      <c r="C646" s="84" t="s">
        <v>122</v>
      </c>
      <c r="D646" s="87" t="s">
        <v>222</v>
      </c>
      <c r="E646" s="87" t="s">
        <v>498</v>
      </c>
      <c r="F646" s="84">
        <v>129</v>
      </c>
      <c r="G646" s="135">
        <f>329.9*89.2%</f>
        <v>294.27080000000001</v>
      </c>
      <c r="H646" s="349">
        <f>329.9*87.4%</f>
        <v>288.33260000000001</v>
      </c>
    </row>
    <row r="647" spans="1:9" ht="33.75" x14ac:dyDescent="0.2">
      <c r="A647" s="83" t="s">
        <v>139</v>
      </c>
      <c r="B647" s="105" t="s">
        <v>495</v>
      </c>
      <c r="C647" s="84" t="s">
        <v>122</v>
      </c>
      <c r="D647" s="87" t="s">
        <v>222</v>
      </c>
      <c r="E647" s="87" t="s">
        <v>500</v>
      </c>
      <c r="F647" s="84">
        <v>100</v>
      </c>
      <c r="G647" s="135">
        <f>G648+G650</f>
        <v>75.819999999999993</v>
      </c>
      <c r="H647" s="349">
        <f>H648+H650</f>
        <v>74.290000000000006</v>
      </c>
    </row>
    <row r="648" spans="1:9" x14ac:dyDescent="0.2">
      <c r="A648" s="83" t="s">
        <v>168</v>
      </c>
      <c r="B648" s="105" t="s">
        <v>495</v>
      </c>
      <c r="C648" s="84" t="s">
        <v>122</v>
      </c>
      <c r="D648" s="87" t="s">
        <v>222</v>
      </c>
      <c r="E648" s="87" t="s">
        <v>500</v>
      </c>
      <c r="F648" s="84">
        <v>120</v>
      </c>
      <c r="G648" s="135">
        <f>G649</f>
        <v>11.4176</v>
      </c>
      <c r="H648" s="349">
        <f>H649</f>
        <v>11.187200000000002</v>
      </c>
    </row>
    <row r="649" spans="1:9" ht="22.5" x14ac:dyDescent="0.2">
      <c r="A649" s="69" t="s">
        <v>293</v>
      </c>
      <c r="B649" s="105" t="s">
        <v>495</v>
      </c>
      <c r="C649" s="84" t="s">
        <v>122</v>
      </c>
      <c r="D649" s="87" t="s">
        <v>222</v>
      </c>
      <c r="E649" s="87" t="s">
        <v>500</v>
      </c>
      <c r="F649" s="84">
        <v>122</v>
      </c>
      <c r="G649" s="135">
        <f>12.8*89.2%</f>
        <v>11.4176</v>
      </c>
      <c r="H649" s="349">
        <f>12.8*87.4%</f>
        <v>11.187200000000002</v>
      </c>
    </row>
    <row r="650" spans="1:9" x14ac:dyDescent="0.2">
      <c r="A650" s="83" t="s">
        <v>650</v>
      </c>
      <c r="B650" s="105" t="s">
        <v>495</v>
      </c>
      <c r="C650" s="84" t="s">
        <v>122</v>
      </c>
      <c r="D650" s="87" t="s">
        <v>222</v>
      </c>
      <c r="E650" s="87" t="s">
        <v>500</v>
      </c>
      <c r="F650" s="84" t="s">
        <v>150</v>
      </c>
      <c r="G650" s="135">
        <f>G651</f>
        <v>64.4024</v>
      </c>
      <c r="H650" s="349">
        <f>H651</f>
        <v>63.102800000000009</v>
      </c>
    </row>
    <row r="651" spans="1:9" ht="22.5" x14ac:dyDescent="0.2">
      <c r="A651" s="115" t="s">
        <v>151</v>
      </c>
      <c r="B651" s="105" t="s">
        <v>495</v>
      </c>
      <c r="C651" s="84" t="s">
        <v>122</v>
      </c>
      <c r="D651" s="87" t="s">
        <v>222</v>
      </c>
      <c r="E651" s="87" t="s">
        <v>500</v>
      </c>
      <c r="F651" s="84" t="s">
        <v>152</v>
      </c>
      <c r="G651" s="135">
        <f>G653+G652</f>
        <v>64.4024</v>
      </c>
      <c r="H651" s="349">
        <f>H653+H652</f>
        <v>63.102800000000009</v>
      </c>
    </row>
    <row r="652" spans="1:9" ht="22.5" x14ac:dyDescent="0.2">
      <c r="A652" s="115" t="s">
        <v>171</v>
      </c>
      <c r="B652" s="105" t="s">
        <v>495</v>
      </c>
      <c r="C652" s="84" t="s">
        <v>122</v>
      </c>
      <c r="D652" s="87" t="s">
        <v>222</v>
      </c>
      <c r="E652" s="87" t="s">
        <v>500</v>
      </c>
      <c r="F652" s="84">
        <v>242</v>
      </c>
      <c r="G652" s="135">
        <f>43.2*89.2%</f>
        <v>38.534400000000005</v>
      </c>
      <c r="H652" s="349">
        <f>43.2*87.4%</f>
        <v>37.756800000000005</v>
      </c>
    </row>
    <row r="653" spans="1:9" ht="22.5" x14ac:dyDescent="0.2">
      <c r="A653" s="115" t="s">
        <v>153</v>
      </c>
      <c r="B653" s="105" t="s">
        <v>495</v>
      </c>
      <c r="C653" s="84" t="s">
        <v>122</v>
      </c>
      <c r="D653" s="87" t="s">
        <v>222</v>
      </c>
      <c r="E653" s="87" t="s">
        <v>500</v>
      </c>
      <c r="F653" s="84" t="s">
        <v>154</v>
      </c>
      <c r="G653" s="135">
        <f>29*89.2%</f>
        <v>25.868000000000002</v>
      </c>
      <c r="H653" s="349">
        <f>29*87.4%</f>
        <v>25.346000000000004</v>
      </c>
    </row>
    <row r="654" spans="1:9" x14ac:dyDescent="0.2">
      <c r="A654" s="370" t="s">
        <v>671</v>
      </c>
      <c r="B654" s="95"/>
      <c r="C654" s="217"/>
      <c r="D654" s="95"/>
      <c r="E654" s="217" t="s">
        <v>670</v>
      </c>
      <c r="F654" s="217"/>
      <c r="G654" s="373">
        <f>'Пр 3 доход на 2019-2020гг'!C82*2.5%</f>
        <v>0</v>
      </c>
      <c r="H654" s="373">
        <f>'Пр 3 доход на 2019-2020гг'!D82*5%</f>
        <v>0</v>
      </c>
    </row>
    <row r="655" spans="1:9" x14ac:dyDescent="0.2">
      <c r="G655" s="372">
        <f>'Пр 3 доход на 2019-2020гг'!C82-'ПР 8 ведом'!G654</f>
        <v>0</v>
      </c>
      <c r="H655" s="372">
        <f>'Пр 3 доход на 2019-2020гг'!D82-'ПР 8 ведом'!H654</f>
        <v>0</v>
      </c>
      <c r="I655" s="148"/>
    </row>
    <row r="656" spans="1:9" x14ac:dyDescent="0.2">
      <c r="G656" s="53">
        <v>444737.4</v>
      </c>
      <c r="H656" s="53">
        <v>435880.2</v>
      </c>
      <c r="I656" s="148"/>
    </row>
    <row r="657" spans="1:13" x14ac:dyDescent="0.2">
      <c r="G657" s="372">
        <f>G655-G656</f>
        <v>-444737.4</v>
      </c>
      <c r="H657" s="372">
        <f>H655-H656</f>
        <v>-435880.2</v>
      </c>
    </row>
    <row r="659" spans="1:13" s="59" customFormat="1" ht="11.25" x14ac:dyDescent="0.2">
      <c r="A659" s="55"/>
      <c r="B659" s="56"/>
      <c r="C659" s="60"/>
      <c r="D659" s="56"/>
      <c r="E659" s="60"/>
      <c r="F659" s="60"/>
      <c r="G659" s="53"/>
      <c r="H659" s="53"/>
      <c r="I659" s="89"/>
      <c r="J659" s="89"/>
      <c r="K659" s="89"/>
      <c r="L659" s="89"/>
      <c r="M659" s="89"/>
    </row>
    <row r="660" spans="1:13" s="59" customFormat="1" ht="11.25" x14ac:dyDescent="0.2">
      <c r="A660" s="55"/>
      <c r="B660" s="56"/>
      <c r="C660" s="60"/>
      <c r="D660" s="56"/>
      <c r="E660" s="60"/>
      <c r="F660" s="60"/>
      <c r="G660" s="53"/>
      <c r="H660" s="53"/>
      <c r="I660" s="89"/>
      <c r="J660" s="89"/>
      <c r="K660" s="89"/>
      <c r="L660" s="89"/>
      <c r="M660" s="89"/>
    </row>
    <row r="661" spans="1:13" s="59" customFormat="1" ht="11.25" x14ac:dyDescent="0.2">
      <c r="A661" s="55"/>
      <c r="B661" s="56"/>
      <c r="C661" s="60"/>
      <c r="D661" s="56"/>
      <c r="E661" s="60"/>
      <c r="F661" s="60"/>
      <c r="G661" s="53"/>
      <c r="H661" s="53"/>
      <c r="I661" s="159"/>
      <c r="J661" s="159"/>
      <c r="K661" s="89"/>
      <c r="L661" s="89"/>
      <c r="M661" s="89"/>
    </row>
    <row r="666" spans="1:13" s="59" customFormat="1" ht="11.25" x14ac:dyDescent="0.2">
      <c r="A666" s="55"/>
      <c r="B666" s="56"/>
      <c r="C666" s="60"/>
      <c r="D666" s="56"/>
      <c r="E666" s="60"/>
      <c r="F666" s="60"/>
      <c r="G666" s="53"/>
      <c r="H666" s="53"/>
      <c r="I666" s="89"/>
      <c r="J666" s="89"/>
      <c r="K666" s="89"/>
      <c r="L666" s="89"/>
      <c r="M666" s="89"/>
    </row>
    <row r="667" spans="1:13" s="59" customFormat="1" ht="11.25" x14ac:dyDescent="0.2">
      <c r="A667" s="55"/>
      <c r="B667" s="56"/>
      <c r="C667" s="60"/>
      <c r="D667" s="56"/>
      <c r="E667" s="60"/>
      <c r="F667" s="60"/>
      <c r="G667" s="53"/>
      <c r="H667" s="53"/>
      <c r="I667" s="89"/>
      <c r="J667" s="89"/>
      <c r="K667" s="89"/>
      <c r="L667" s="89"/>
      <c r="M667" s="89"/>
    </row>
    <row r="668" spans="1:13" s="59" customFormat="1" ht="11.25" x14ac:dyDescent="0.2">
      <c r="A668" s="55"/>
      <c r="B668" s="56"/>
      <c r="C668" s="60"/>
      <c r="D668" s="56"/>
      <c r="E668" s="60"/>
      <c r="F668" s="60"/>
      <c r="G668" s="53"/>
      <c r="H668" s="53"/>
      <c r="I668" s="89"/>
      <c r="J668" s="89"/>
      <c r="K668" s="89"/>
      <c r="L668" s="89"/>
      <c r="M668" s="89"/>
    </row>
    <row r="669" spans="1:13" s="59" customFormat="1" ht="11.25" x14ac:dyDescent="0.2">
      <c r="A669" s="55"/>
      <c r="B669" s="56"/>
      <c r="C669" s="60"/>
      <c r="D669" s="56"/>
      <c r="E669" s="60"/>
      <c r="F669" s="60"/>
      <c r="G669" s="53"/>
      <c r="H669" s="53"/>
      <c r="I669" s="89"/>
      <c r="J669" s="89"/>
      <c r="K669" s="89"/>
      <c r="L669" s="89"/>
      <c r="M669" s="89"/>
    </row>
  </sheetData>
  <autoFilter ref="B13:F657"/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1"/>
  <sheetViews>
    <sheetView view="pageBreakPreview" zoomScale="60" zoomScaleNormal="90" workbookViewId="0">
      <selection activeCell="A2" sqref="A2:D2"/>
    </sheetView>
  </sheetViews>
  <sheetFormatPr defaultRowHeight="12" x14ac:dyDescent="0.2"/>
  <cols>
    <col min="1" max="1" width="4" style="181" customWidth="1"/>
    <col min="2" max="2" width="54.85546875" style="181" customWidth="1"/>
    <col min="3" max="3" width="106.7109375" style="207" customWidth="1"/>
    <col min="4" max="4" width="14.85546875" style="208" customWidth="1"/>
    <col min="5" max="249" width="9.140625" style="181"/>
    <col min="250" max="250" width="4" style="181" customWidth="1"/>
    <col min="251" max="251" width="54.85546875" style="181" customWidth="1"/>
    <col min="252" max="252" width="106.7109375" style="181" customWidth="1"/>
    <col min="253" max="254" width="0" style="181" hidden="1" customWidth="1"/>
    <col min="255" max="255" width="16.28515625" style="181" customWidth="1"/>
    <col min="256" max="256" width="11.5703125" style="181" customWidth="1"/>
    <col min="257" max="257" width="16.28515625" style="181" customWidth="1"/>
    <col min="258" max="259" width="0" style="181" hidden="1" customWidth="1"/>
    <col min="260" max="505" width="9.140625" style="181"/>
    <col min="506" max="506" width="4" style="181" customWidth="1"/>
    <col min="507" max="507" width="54.85546875" style="181" customWidth="1"/>
    <col min="508" max="508" width="106.7109375" style="181" customWidth="1"/>
    <col min="509" max="510" width="0" style="181" hidden="1" customWidth="1"/>
    <col min="511" max="511" width="16.28515625" style="181" customWidth="1"/>
    <col min="512" max="512" width="11.5703125" style="181" customWidth="1"/>
    <col min="513" max="513" width="16.28515625" style="181" customWidth="1"/>
    <col min="514" max="515" width="0" style="181" hidden="1" customWidth="1"/>
    <col min="516" max="761" width="9.140625" style="181"/>
    <col min="762" max="762" width="4" style="181" customWidth="1"/>
    <col min="763" max="763" width="54.85546875" style="181" customWidth="1"/>
    <col min="764" max="764" width="106.7109375" style="181" customWidth="1"/>
    <col min="765" max="766" width="0" style="181" hidden="1" customWidth="1"/>
    <col min="767" max="767" width="16.28515625" style="181" customWidth="1"/>
    <col min="768" max="768" width="11.5703125" style="181" customWidth="1"/>
    <col min="769" max="769" width="16.28515625" style="181" customWidth="1"/>
    <col min="770" max="771" width="0" style="181" hidden="1" customWidth="1"/>
    <col min="772" max="1017" width="9.140625" style="181"/>
    <col min="1018" max="1018" width="4" style="181" customWidth="1"/>
    <col min="1019" max="1019" width="54.85546875" style="181" customWidth="1"/>
    <col min="1020" max="1020" width="106.7109375" style="181" customWidth="1"/>
    <col min="1021" max="1022" width="0" style="181" hidden="1" customWidth="1"/>
    <col min="1023" max="1023" width="16.28515625" style="181" customWidth="1"/>
    <col min="1024" max="1024" width="11.5703125" style="181" customWidth="1"/>
    <col min="1025" max="1025" width="16.28515625" style="181" customWidth="1"/>
    <col min="1026" max="1027" width="0" style="181" hidden="1" customWidth="1"/>
    <col min="1028" max="1273" width="9.140625" style="181"/>
    <col min="1274" max="1274" width="4" style="181" customWidth="1"/>
    <col min="1275" max="1275" width="54.85546875" style="181" customWidth="1"/>
    <col min="1276" max="1276" width="106.7109375" style="181" customWidth="1"/>
    <col min="1277" max="1278" width="0" style="181" hidden="1" customWidth="1"/>
    <col min="1279" max="1279" width="16.28515625" style="181" customWidth="1"/>
    <col min="1280" max="1280" width="11.5703125" style="181" customWidth="1"/>
    <col min="1281" max="1281" width="16.28515625" style="181" customWidth="1"/>
    <col min="1282" max="1283" width="0" style="181" hidden="1" customWidth="1"/>
    <col min="1284" max="1529" width="9.140625" style="181"/>
    <col min="1530" max="1530" width="4" style="181" customWidth="1"/>
    <col min="1531" max="1531" width="54.85546875" style="181" customWidth="1"/>
    <col min="1532" max="1532" width="106.7109375" style="181" customWidth="1"/>
    <col min="1533" max="1534" width="0" style="181" hidden="1" customWidth="1"/>
    <col min="1535" max="1535" width="16.28515625" style="181" customWidth="1"/>
    <col min="1536" max="1536" width="11.5703125" style="181" customWidth="1"/>
    <col min="1537" max="1537" width="16.28515625" style="181" customWidth="1"/>
    <col min="1538" max="1539" width="0" style="181" hidden="1" customWidth="1"/>
    <col min="1540" max="1785" width="9.140625" style="181"/>
    <col min="1786" max="1786" width="4" style="181" customWidth="1"/>
    <col min="1787" max="1787" width="54.85546875" style="181" customWidth="1"/>
    <col min="1788" max="1788" width="106.7109375" style="181" customWidth="1"/>
    <col min="1789" max="1790" width="0" style="181" hidden="1" customWidth="1"/>
    <col min="1791" max="1791" width="16.28515625" style="181" customWidth="1"/>
    <col min="1792" max="1792" width="11.5703125" style="181" customWidth="1"/>
    <col min="1793" max="1793" width="16.28515625" style="181" customWidth="1"/>
    <col min="1794" max="1795" width="0" style="181" hidden="1" customWidth="1"/>
    <col min="1796" max="2041" width="9.140625" style="181"/>
    <col min="2042" max="2042" width="4" style="181" customWidth="1"/>
    <col min="2043" max="2043" width="54.85546875" style="181" customWidth="1"/>
    <col min="2044" max="2044" width="106.7109375" style="181" customWidth="1"/>
    <col min="2045" max="2046" width="0" style="181" hidden="1" customWidth="1"/>
    <col min="2047" max="2047" width="16.28515625" style="181" customWidth="1"/>
    <col min="2048" max="2048" width="11.5703125" style="181" customWidth="1"/>
    <col min="2049" max="2049" width="16.28515625" style="181" customWidth="1"/>
    <col min="2050" max="2051" width="0" style="181" hidden="1" customWidth="1"/>
    <col min="2052" max="2297" width="9.140625" style="181"/>
    <col min="2298" max="2298" width="4" style="181" customWidth="1"/>
    <col min="2299" max="2299" width="54.85546875" style="181" customWidth="1"/>
    <col min="2300" max="2300" width="106.7109375" style="181" customWidth="1"/>
    <col min="2301" max="2302" width="0" style="181" hidden="1" customWidth="1"/>
    <col min="2303" max="2303" width="16.28515625" style="181" customWidth="1"/>
    <col min="2304" max="2304" width="11.5703125" style="181" customWidth="1"/>
    <col min="2305" max="2305" width="16.28515625" style="181" customWidth="1"/>
    <col min="2306" max="2307" width="0" style="181" hidden="1" customWidth="1"/>
    <col min="2308" max="2553" width="9.140625" style="181"/>
    <col min="2554" max="2554" width="4" style="181" customWidth="1"/>
    <col min="2555" max="2555" width="54.85546875" style="181" customWidth="1"/>
    <col min="2556" max="2556" width="106.7109375" style="181" customWidth="1"/>
    <col min="2557" max="2558" width="0" style="181" hidden="1" customWidth="1"/>
    <col min="2559" max="2559" width="16.28515625" style="181" customWidth="1"/>
    <col min="2560" max="2560" width="11.5703125" style="181" customWidth="1"/>
    <col min="2561" max="2561" width="16.28515625" style="181" customWidth="1"/>
    <col min="2562" max="2563" width="0" style="181" hidden="1" customWidth="1"/>
    <col min="2564" max="2809" width="9.140625" style="181"/>
    <col min="2810" max="2810" width="4" style="181" customWidth="1"/>
    <col min="2811" max="2811" width="54.85546875" style="181" customWidth="1"/>
    <col min="2812" max="2812" width="106.7109375" style="181" customWidth="1"/>
    <col min="2813" max="2814" width="0" style="181" hidden="1" customWidth="1"/>
    <col min="2815" max="2815" width="16.28515625" style="181" customWidth="1"/>
    <col min="2816" max="2816" width="11.5703125" style="181" customWidth="1"/>
    <col min="2817" max="2817" width="16.28515625" style="181" customWidth="1"/>
    <col min="2818" max="2819" width="0" style="181" hidden="1" customWidth="1"/>
    <col min="2820" max="3065" width="9.140625" style="181"/>
    <col min="3066" max="3066" width="4" style="181" customWidth="1"/>
    <col min="3067" max="3067" width="54.85546875" style="181" customWidth="1"/>
    <col min="3068" max="3068" width="106.7109375" style="181" customWidth="1"/>
    <col min="3069" max="3070" width="0" style="181" hidden="1" customWidth="1"/>
    <col min="3071" max="3071" width="16.28515625" style="181" customWidth="1"/>
    <col min="3072" max="3072" width="11.5703125" style="181" customWidth="1"/>
    <col min="3073" max="3073" width="16.28515625" style="181" customWidth="1"/>
    <col min="3074" max="3075" width="0" style="181" hidden="1" customWidth="1"/>
    <col min="3076" max="3321" width="9.140625" style="181"/>
    <col min="3322" max="3322" width="4" style="181" customWidth="1"/>
    <col min="3323" max="3323" width="54.85546875" style="181" customWidth="1"/>
    <col min="3324" max="3324" width="106.7109375" style="181" customWidth="1"/>
    <col min="3325" max="3326" width="0" style="181" hidden="1" customWidth="1"/>
    <col min="3327" max="3327" width="16.28515625" style="181" customWidth="1"/>
    <col min="3328" max="3328" width="11.5703125" style="181" customWidth="1"/>
    <col min="3329" max="3329" width="16.28515625" style="181" customWidth="1"/>
    <col min="3330" max="3331" width="0" style="181" hidden="1" customWidth="1"/>
    <col min="3332" max="3577" width="9.140625" style="181"/>
    <col min="3578" max="3578" width="4" style="181" customWidth="1"/>
    <col min="3579" max="3579" width="54.85546875" style="181" customWidth="1"/>
    <col min="3580" max="3580" width="106.7109375" style="181" customWidth="1"/>
    <col min="3581" max="3582" width="0" style="181" hidden="1" customWidth="1"/>
    <col min="3583" max="3583" width="16.28515625" style="181" customWidth="1"/>
    <col min="3584" max="3584" width="11.5703125" style="181" customWidth="1"/>
    <col min="3585" max="3585" width="16.28515625" style="181" customWidth="1"/>
    <col min="3586" max="3587" width="0" style="181" hidden="1" customWidth="1"/>
    <col min="3588" max="3833" width="9.140625" style="181"/>
    <col min="3834" max="3834" width="4" style="181" customWidth="1"/>
    <col min="3835" max="3835" width="54.85546875" style="181" customWidth="1"/>
    <col min="3836" max="3836" width="106.7109375" style="181" customWidth="1"/>
    <col min="3837" max="3838" width="0" style="181" hidden="1" customWidth="1"/>
    <col min="3839" max="3839" width="16.28515625" style="181" customWidth="1"/>
    <col min="3840" max="3840" width="11.5703125" style="181" customWidth="1"/>
    <col min="3841" max="3841" width="16.28515625" style="181" customWidth="1"/>
    <col min="3842" max="3843" width="0" style="181" hidden="1" customWidth="1"/>
    <col min="3844" max="4089" width="9.140625" style="181"/>
    <col min="4090" max="4090" width="4" style="181" customWidth="1"/>
    <col min="4091" max="4091" width="54.85546875" style="181" customWidth="1"/>
    <col min="4092" max="4092" width="106.7109375" style="181" customWidth="1"/>
    <col min="4093" max="4094" width="0" style="181" hidden="1" customWidth="1"/>
    <col min="4095" max="4095" width="16.28515625" style="181" customWidth="1"/>
    <col min="4096" max="4096" width="11.5703125" style="181" customWidth="1"/>
    <col min="4097" max="4097" width="16.28515625" style="181" customWidth="1"/>
    <col min="4098" max="4099" width="0" style="181" hidden="1" customWidth="1"/>
    <col min="4100" max="4345" width="9.140625" style="181"/>
    <col min="4346" max="4346" width="4" style="181" customWidth="1"/>
    <col min="4347" max="4347" width="54.85546875" style="181" customWidth="1"/>
    <col min="4348" max="4348" width="106.7109375" style="181" customWidth="1"/>
    <col min="4349" max="4350" width="0" style="181" hidden="1" customWidth="1"/>
    <col min="4351" max="4351" width="16.28515625" style="181" customWidth="1"/>
    <col min="4352" max="4352" width="11.5703125" style="181" customWidth="1"/>
    <col min="4353" max="4353" width="16.28515625" style="181" customWidth="1"/>
    <col min="4354" max="4355" width="0" style="181" hidden="1" customWidth="1"/>
    <col min="4356" max="4601" width="9.140625" style="181"/>
    <col min="4602" max="4602" width="4" style="181" customWidth="1"/>
    <col min="4603" max="4603" width="54.85546875" style="181" customWidth="1"/>
    <col min="4604" max="4604" width="106.7109375" style="181" customWidth="1"/>
    <col min="4605" max="4606" width="0" style="181" hidden="1" customWidth="1"/>
    <col min="4607" max="4607" width="16.28515625" style="181" customWidth="1"/>
    <col min="4608" max="4608" width="11.5703125" style="181" customWidth="1"/>
    <col min="4609" max="4609" width="16.28515625" style="181" customWidth="1"/>
    <col min="4610" max="4611" width="0" style="181" hidden="1" customWidth="1"/>
    <col min="4612" max="4857" width="9.140625" style="181"/>
    <col min="4858" max="4858" width="4" style="181" customWidth="1"/>
    <col min="4859" max="4859" width="54.85546875" style="181" customWidth="1"/>
    <col min="4860" max="4860" width="106.7109375" style="181" customWidth="1"/>
    <col min="4861" max="4862" width="0" style="181" hidden="1" customWidth="1"/>
    <col min="4863" max="4863" width="16.28515625" style="181" customWidth="1"/>
    <col min="4864" max="4864" width="11.5703125" style="181" customWidth="1"/>
    <col min="4865" max="4865" width="16.28515625" style="181" customWidth="1"/>
    <col min="4866" max="4867" width="0" style="181" hidden="1" customWidth="1"/>
    <col min="4868" max="5113" width="9.140625" style="181"/>
    <col min="5114" max="5114" width="4" style="181" customWidth="1"/>
    <col min="5115" max="5115" width="54.85546875" style="181" customWidth="1"/>
    <col min="5116" max="5116" width="106.7109375" style="181" customWidth="1"/>
    <col min="5117" max="5118" width="0" style="181" hidden="1" customWidth="1"/>
    <col min="5119" max="5119" width="16.28515625" style="181" customWidth="1"/>
    <col min="5120" max="5120" width="11.5703125" style="181" customWidth="1"/>
    <col min="5121" max="5121" width="16.28515625" style="181" customWidth="1"/>
    <col min="5122" max="5123" width="0" style="181" hidden="1" customWidth="1"/>
    <col min="5124" max="5369" width="9.140625" style="181"/>
    <col min="5370" max="5370" width="4" style="181" customWidth="1"/>
    <col min="5371" max="5371" width="54.85546875" style="181" customWidth="1"/>
    <col min="5372" max="5372" width="106.7109375" style="181" customWidth="1"/>
    <col min="5373" max="5374" width="0" style="181" hidden="1" customWidth="1"/>
    <col min="5375" max="5375" width="16.28515625" style="181" customWidth="1"/>
    <col min="5376" max="5376" width="11.5703125" style="181" customWidth="1"/>
    <col min="5377" max="5377" width="16.28515625" style="181" customWidth="1"/>
    <col min="5378" max="5379" width="0" style="181" hidden="1" customWidth="1"/>
    <col min="5380" max="5625" width="9.140625" style="181"/>
    <col min="5626" max="5626" width="4" style="181" customWidth="1"/>
    <col min="5627" max="5627" width="54.85546875" style="181" customWidth="1"/>
    <col min="5628" max="5628" width="106.7109375" style="181" customWidth="1"/>
    <col min="5629" max="5630" width="0" style="181" hidden="1" customWidth="1"/>
    <col min="5631" max="5631" width="16.28515625" style="181" customWidth="1"/>
    <col min="5632" max="5632" width="11.5703125" style="181" customWidth="1"/>
    <col min="5633" max="5633" width="16.28515625" style="181" customWidth="1"/>
    <col min="5634" max="5635" width="0" style="181" hidden="1" customWidth="1"/>
    <col min="5636" max="5881" width="9.140625" style="181"/>
    <col min="5882" max="5882" width="4" style="181" customWidth="1"/>
    <col min="5883" max="5883" width="54.85546875" style="181" customWidth="1"/>
    <col min="5884" max="5884" width="106.7109375" style="181" customWidth="1"/>
    <col min="5885" max="5886" width="0" style="181" hidden="1" customWidth="1"/>
    <col min="5887" max="5887" width="16.28515625" style="181" customWidth="1"/>
    <col min="5888" max="5888" width="11.5703125" style="181" customWidth="1"/>
    <col min="5889" max="5889" width="16.28515625" style="181" customWidth="1"/>
    <col min="5890" max="5891" width="0" style="181" hidden="1" customWidth="1"/>
    <col min="5892" max="6137" width="9.140625" style="181"/>
    <col min="6138" max="6138" width="4" style="181" customWidth="1"/>
    <col min="6139" max="6139" width="54.85546875" style="181" customWidth="1"/>
    <col min="6140" max="6140" width="106.7109375" style="181" customWidth="1"/>
    <col min="6141" max="6142" width="0" style="181" hidden="1" customWidth="1"/>
    <col min="6143" max="6143" width="16.28515625" style="181" customWidth="1"/>
    <col min="6144" max="6144" width="11.5703125" style="181" customWidth="1"/>
    <col min="6145" max="6145" width="16.28515625" style="181" customWidth="1"/>
    <col min="6146" max="6147" width="0" style="181" hidden="1" customWidth="1"/>
    <col min="6148" max="6393" width="9.140625" style="181"/>
    <col min="6394" max="6394" width="4" style="181" customWidth="1"/>
    <col min="6395" max="6395" width="54.85546875" style="181" customWidth="1"/>
    <col min="6396" max="6396" width="106.7109375" style="181" customWidth="1"/>
    <col min="6397" max="6398" width="0" style="181" hidden="1" customWidth="1"/>
    <col min="6399" max="6399" width="16.28515625" style="181" customWidth="1"/>
    <col min="6400" max="6400" width="11.5703125" style="181" customWidth="1"/>
    <col min="6401" max="6401" width="16.28515625" style="181" customWidth="1"/>
    <col min="6402" max="6403" width="0" style="181" hidden="1" customWidth="1"/>
    <col min="6404" max="6649" width="9.140625" style="181"/>
    <col min="6650" max="6650" width="4" style="181" customWidth="1"/>
    <col min="6651" max="6651" width="54.85546875" style="181" customWidth="1"/>
    <col min="6652" max="6652" width="106.7109375" style="181" customWidth="1"/>
    <col min="6653" max="6654" width="0" style="181" hidden="1" customWidth="1"/>
    <col min="6655" max="6655" width="16.28515625" style="181" customWidth="1"/>
    <col min="6656" max="6656" width="11.5703125" style="181" customWidth="1"/>
    <col min="6657" max="6657" width="16.28515625" style="181" customWidth="1"/>
    <col min="6658" max="6659" width="0" style="181" hidden="1" customWidth="1"/>
    <col min="6660" max="6905" width="9.140625" style="181"/>
    <col min="6906" max="6906" width="4" style="181" customWidth="1"/>
    <col min="6907" max="6907" width="54.85546875" style="181" customWidth="1"/>
    <col min="6908" max="6908" width="106.7109375" style="181" customWidth="1"/>
    <col min="6909" max="6910" width="0" style="181" hidden="1" customWidth="1"/>
    <col min="6911" max="6911" width="16.28515625" style="181" customWidth="1"/>
    <col min="6912" max="6912" width="11.5703125" style="181" customWidth="1"/>
    <col min="6913" max="6913" width="16.28515625" style="181" customWidth="1"/>
    <col min="6914" max="6915" width="0" style="181" hidden="1" customWidth="1"/>
    <col min="6916" max="7161" width="9.140625" style="181"/>
    <col min="7162" max="7162" width="4" style="181" customWidth="1"/>
    <col min="7163" max="7163" width="54.85546875" style="181" customWidth="1"/>
    <col min="7164" max="7164" width="106.7109375" style="181" customWidth="1"/>
    <col min="7165" max="7166" width="0" style="181" hidden="1" customWidth="1"/>
    <col min="7167" max="7167" width="16.28515625" style="181" customWidth="1"/>
    <col min="7168" max="7168" width="11.5703125" style="181" customWidth="1"/>
    <col min="7169" max="7169" width="16.28515625" style="181" customWidth="1"/>
    <col min="7170" max="7171" width="0" style="181" hidden="1" customWidth="1"/>
    <col min="7172" max="7417" width="9.140625" style="181"/>
    <col min="7418" max="7418" width="4" style="181" customWidth="1"/>
    <col min="7419" max="7419" width="54.85546875" style="181" customWidth="1"/>
    <col min="7420" max="7420" width="106.7109375" style="181" customWidth="1"/>
    <col min="7421" max="7422" width="0" style="181" hidden="1" customWidth="1"/>
    <col min="7423" max="7423" width="16.28515625" style="181" customWidth="1"/>
    <col min="7424" max="7424" width="11.5703125" style="181" customWidth="1"/>
    <col min="7425" max="7425" width="16.28515625" style="181" customWidth="1"/>
    <col min="7426" max="7427" width="0" style="181" hidden="1" customWidth="1"/>
    <col min="7428" max="7673" width="9.140625" style="181"/>
    <col min="7674" max="7674" width="4" style="181" customWidth="1"/>
    <col min="7675" max="7675" width="54.85546875" style="181" customWidth="1"/>
    <col min="7676" max="7676" width="106.7109375" style="181" customWidth="1"/>
    <col min="7677" max="7678" width="0" style="181" hidden="1" customWidth="1"/>
    <col min="7679" max="7679" width="16.28515625" style="181" customWidth="1"/>
    <col min="7680" max="7680" width="11.5703125" style="181" customWidth="1"/>
    <col min="7681" max="7681" width="16.28515625" style="181" customWidth="1"/>
    <col min="7682" max="7683" width="0" style="181" hidden="1" customWidth="1"/>
    <col min="7684" max="7929" width="9.140625" style="181"/>
    <col min="7930" max="7930" width="4" style="181" customWidth="1"/>
    <col min="7931" max="7931" width="54.85546875" style="181" customWidth="1"/>
    <col min="7932" max="7932" width="106.7109375" style="181" customWidth="1"/>
    <col min="7933" max="7934" width="0" style="181" hidden="1" customWidth="1"/>
    <col min="7935" max="7935" width="16.28515625" style="181" customWidth="1"/>
    <col min="7936" max="7936" width="11.5703125" style="181" customWidth="1"/>
    <col min="7937" max="7937" width="16.28515625" style="181" customWidth="1"/>
    <col min="7938" max="7939" width="0" style="181" hidden="1" customWidth="1"/>
    <col min="7940" max="8185" width="9.140625" style="181"/>
    <col min="8186" max="8186" width="4" style="181" customWidth="1"/>
    <col min="8187" max="8187" width="54.85546875" style="181" customWidth="1"/>
    <col min="8188" max="8188" width="106.7109375" style="181" customWidth="1"/>
    <col min="8189" max="8190" width="0" style="181" hidden="1" customWidth="1"/>
    <col min="8191" max="8191" width="16.28515625" style="181" customWidth="1"/>
    <col min="8192" max="8192" width="11.5703125" style="181" customWidth="1"/>
    <col min="8193" max="8193" width="16.28515625" style="181" customWidth="1"/>
    <col min="8194" max="8195" width="0" style="181" hidden="1" customWidth="1"/>
    <col min="8196" max="8441" width="9.140625" style="181"/>
    <col min="8442" max="8442" width="4" style="181" customWidth="1"/>
    <col min="8443" max="8443" width="54.85546875" style="181" customWidth="1"/>
    <col min="8444" max="8444" width="106.7109375" style="181" customWidth="1"/>
    <col min="8445" max="8446" width="0" style="181" hidden="1" customWidth="1"/>
    <col min="8447" max="8447" width="16.28515625" style="181" customWidth="1"/>
    <col min="8448" max="8448" width="11.5703125" style="181" customWidth="1"/>
    <col min="8449" max="8449" width="16.28515625" style="181" customWidth="1"/>
    <col min="8450" max="8451" width="0" style="181" hidden="1" customWidth="1"/>
    <col min="8452" max="8697" width="9.140625" style="181"/>
    <col min="8698" max="8698" width="4" style="181" customWidth="1"/>
    <col min="8699" max="8699" width="54.85546875" style="181" customWidth="1"/>
    <col min="8700" max="8700" width="106.7109375" style="181" customWidth="1"/>
    <col min="8701" max="8702" width="0" style="181" hidden="1" customWidth="1"/>
    <col min="8703" max="8703" width="16.28515625" style="181" customWidth="1"/>
    <col min="8704" max="8704" width="11.5703125" style="181" customWidth="1"/>
    <col min="8705" max="8705" width="16.28515625" style="181" customWidth="1"/>
    <col min="8706" max="8707" width="0" style="181" hidden="1" customWidth="1"/>
    <col min="8708" max="8953" width="9.140625" style="181"/>
    <col min="8954" max="8954" width="4" style="181" customWidth="1"/>
    <col min="8955" max="8955" width="54.85546875" style="181" customWidth="1"/>
    <col min="8956" max="8956" width="106.7109375" style="181" customWidth="1"/>
    <col min="8957" max="8958" width="0" style="181" hidden="1" customWidth="1"/>
    <col min="8959" max="8959" width="16.28515625" style="181" customWidth="1"/>
    <col min="8960" max="8960" width="11.5703125" style="181" customWidth="1"/>
    <col min="8961" max="8961" width="16.28515625" style="181" customWidth="1"/>
    <col min="8962" max="8963" width="0" style="181" hidden="1" customWidth="1"/>
    <col min="8964" max="9209" width="9.140625" style="181"/>
    <col min="9210" max="9210" width="4" style="181" customWidth="1"/>
    <col min="9211" max="9211" width="54.85546875" style="181" customWidth="1"/>
    <col min="9212" max="9212" width="106.7109375" style="181" customWidth="1"/>
    <col min="9213" max="9214" width="0" style="181" hidden="1" customWidth="1"/>
    <col min="9215" max="9215" width="16.28515625" style="181" customWidth="1"/>
    <col min="9216" max="9216" width="11.5703125" style="181" customWidth="1"/>
    <col min="9217" max="9217" width="16.28515625" style="181" customWidth="1"/>
    <col min="9218" max="9219" width="0" style="181" hidden="1" customWidth="1"/>
    <col min="9220" max="9465" width="9.140625" style="181"/>
    <col min="9466" max="9466" width="4" style="181" customWidth="1"/>
    <col min="9467" max="9467" width="54.85546875" style="181" customWidth="1"/>
    <col min="9468" max="9468" width="106.7109375" style="181" customWidth="1"/>
    <col min="9469" max="9470" width="0" style="181" hidden="1" customWidth="1"/>
    <col min="9471" max="9471" width="16.28515625" style="181" customWidth="1"/>
    <col min="9472" max="9472" width="11.5703125" style="181" customWidth="1"/>
    <col min="9473" max="9473" width="16.28515625" style="181" customWidth="1"/>
    <col min="9474" max="9475" width="0" style="181" hidden="1" customWidth="1"/>
    <col min="9476" max="9721" width="9.140625" style="181"/>
    <col min="9722" max="9722" width="4" style="181" customWidth="1"/>
    <col min="9723" max="9723" width="54.85546875" style="181" customWidth="1"/>
    <col min="9724" max="9724" width="106.7109375" style="181" customWidth="1"/>
    <col min="9725" max="9726" width="0" style="181" hidden="1" customWidth="1"/>
    <col min="9727" max="9727" width="16.28515625" style="181" customWidth="1"/>
    <col min="9728" max="9728" width="11.5703125" style="181" customWidth="1"/>
    <col min="9729" max="9729" width="16.28515625" style="181" customWidth="1"/>
    <col min="9730" max="9731" width="0" style="181" hidden="1" customWidth="1"/>
    <col min="9732" max="9977" width="9.140625" style="181"/>
    <col min="9978" max="9978" width="4" style="181" customWidth="1"/>
    <col min="9979" max="9979" width="54.85546875" style="181" customWidth="1"/>
    <col min="9980" max="9980" width="106.7109375" style="181" customWidth="1"/>
    <col min="9981" max="9982" width="0" style="181" hidden="1" customWidth="1"/>
    <col min="9983" max="9983" width="16.28515625" style="181" customWidth="1"/>
    <col min="9984" max="9984" width="11.5703125" style="181" customWidth="1"/>
    <col min="9985" max="9985" width="16.28515625" style="181" customWidth="1"/>
    <col min="9986" max="9987" width="0" style="181" hidden="1" customWidth="1"/>
    <col min="9988" max="10233" width="9.140625" style="181"/>
    <col min="10234" max="10234" width="4" style="181" customWidth="1"/>
    <col min="10235" max="10235" width="54.85546875" style="181" customWidth="1"/>
    <col min="10236" max="10236" width="106.7109375" style="181" customWidth="1"/>
    <col min="10237" max="10238" width="0" style="181" hidden="1" customWidth="1"/>
    <col min="10239" max="10239" width="16.28515625" style="181" customWidth="1"/>
    <col min="10240" max="10240" width="11.5703125" style="181" customWidth="1"/>
    <col min="10241" max="10241" width="16.28515625" style="181" customWidth="1"/>
    <col min="10242" max="10243" width="0" style="181" hidden="1" customWidth="1"/>
    <col min="10244" max="10489" width="9.140625" style="181"/>
    <col min="10490" max="10490" width="4" style="181" customWidth="1"/>
    <col min="10491" max="10491" width="54.85546875" style="181" customWidth="1"/>
    <col min="10492" max="10492" width="106.7109375" style="181" customWidth="1"/>
    <col min="10493" max="10494" width="0" style="181" hidden="1" customWidth="1"/>
    <col min="10495" max="10495" width="16.28515625" style="181" customWidth="1"/>
    <col min="10496" max="10496" width="11.5703125" style="181" customWidth="1"/>
    <col min="10497" max="10497" width="16.28515625" style="181" customWidth="1"/>
    <col min="10498" max="10499" width="0" style="181" hidden="1" customWidth="1"/>
    <col min="10500" max="10745" width="9.140625" style="181"/>
    <col min="10746" max="10746" width="4" style="181" customWidth="1"/>
    <col min="10747" max="10747" width="54.85546875" style="181" customWidth="1"/>
    <col min="10748" max="10748" width="106.7109375" style="181" customWidth="1"/>
    <col min="10749" max="10750" width="0" style="181" hidden="1" customWidth="1"/>
    <col min="10751" max="10751" width="16.28515625" style="181" customWidth="1"/>
    <col min="10752" max="10752" width="11.5703125" style="181" customWidth="1"/>
    <col min="10753" max="10753" width="16.28515625" style="181" customWidth="1"/>
    <col min="10754" max="10755" width="0" style="181" hidden="1" customWidth="1"/>
    <col min="10756" max="11001" width="9.140625" style="181"/>
    <col min="11002" max="11002" width="4" style="181" customWidth="1"/>
    <col min="11003" max="11003" width="54.85546875" style="181" customWidth="1"/>
    <col min="11004" max="11004" width="106.7109375" style="181" customWidth="1"/>
    <col min="11005" max="11006" width="0" style="181" hidden="1" customWidth="1"/>
    <col min="11007" max="11007" width="16.28515625" style="181" customWidth="1"/>
    <col min="11008" max="11008" width="11.5703125" style="181" customWidth="1"/>
    <col min="11009" max="11009" width="16.28515625" style="181" customWidth="1"/>
    <col min="11010" max="11011" width="0" style="181" hidden="1" customWidth="1"/>
    <col min="11012" max="11257" width="9.140625" style="181"/>
    <col min="11258" max="11258" width="4" style="181" customWidth="1"/>
    <col min="11259" max="11259" width="54.85546875" style="181" customWidth="1"/>
    <col min="11260" max="11260" width="106.7109375" style="181" customWidth="1"/>
    <col min="11261" max="11262" width="0" style="181" hidden="1" customWidth="1"/>
    <col min="11263" max="11263" width="16.28515625" style="181" customWidth="1"/>
    <col min="11264" max="11264" width="11.5703125" style="181" customWidth="1"/>
    <col min="11265" max="11265" width="16.28515625" style="181" customWidth="1"/>
    <col min="11266" max="11267" width="0" style="181" hidden="1" customWidth="1"/>
    <col min="11268" max="11513" width="9.140625" style="181"/>
    <col min="11514" max="11514" width="4" style="181" customWidth="1"/>
    <col min="11515" max="11515" width="54.85546875" style="181" customWidth="1"/>
    <col min="11516" max="11516" width="106.7109375" style="181" customWidth="1"/>
    <col min="11517" max="11518" width="0" style="181" hidden="1" customWidth="1"/>
    <col min="11519" max="11519" width="16.28515625" style="181" customWidth="1"/>
    <col min="11520" max="11520" width="11.5703125" style="181" customWidth="1"/>
    <col min="11521" max="11521" width="16.28515625" style="181" customWidth="1"/>
    <col min="11522" max="11523" width="0" style="181" hidden="1" customWidth="1"/>
    <col min="11524" max="11769" width="9.140625" style="181"/>
    <col min="11770" max="11770" width="4" style="181" customWidth="1"/>
    <col min="11771" max="11771" width="54.85546875" style="181" customWidth="1"/>
    <col min="11772" max="11772" width="106.7109375" style="181" customWidth="1"/>
    <col min="11773" max="11774" width="0" style="181" hidden="1" customWidth="1"/>
    <col min="11775" max="11775" width="16.28515625" style="181" customWidth="1"/>
    <col min="11776" max="11776" width="11.5703125" style="181" customWidth="1"/>
    <col min="11777" max="11777" width="16.28515625" style="181" customWidth="1"/>
    <col min="11778" max="11779" width="0" style="181" hidden="1" customWidth="1"/>
    <col min="11780" max="12025" width="9.140625" style="181"/>
    <col min="12026" max="12026" width="4" style="181" customWidth="1"/>
    <col min="12027" max="12027" width="54.85546875" style="181" customWidth="1"/>
    <col min="12028" max="12028" width="106.7109375" style="181" customWidth="1"/>
    <col min="12029" max="12030" width="0" style="181" hidden="1" customWidth="1"/>
    <col min="12031" max="12031" width="16.28515625" style="181" customWidth="1"/>
    <col min="12032" max="12032" width="11.5703125" style="181" customWidth="1"/>
    <col min="12033" max="12033" width="16.28515625" style="181" customWidth="1"/>
    <col min="12034" max="12035" width="0" style="181" hidden="1" customWidth="1"/>
    <col min="12036" max="12281" width="9.140625" style="181"/>
    <col min="12282" max="12282" width="4" style="181" customWidth="1"/>
    <col min="12283" max="12283" width="54.85546875" style="181" customWidth="1"/>
    <col min="12284" max="12284" width="106.7109375" style="181" customWidth="1"/>
    <col min="12285" max="12286" width="0" style="181" hidden="1" customWidth="1"/>
    <col min="12287" max="12287" width="16.28515625" style="181" customWidth="1"/>
    <col min="12288" max="12288" width="11.5703125" style="181" customWidth="1"/>
    <col min="12289" max="12289" width="16.28515625" style="181" customWidth="1"/>
    <col min="12290" max="12291" width="0" style="181" hidden="1" customWidth="1"/>
    <col min="12292" max="12537" width="9.140625" style="181"/>
    <col min="12538" max="12538" width="4" style="181" customWidth="1"/>
    <col min="12539" max="12539" width="54.85546875" style="181" customWidth="1"/>
    <col min="12540" max="12540" width="106.7109375" style="181" customWidth="1"/>
    <col min="12541" max="12542" width="0" style="181" hidden="1" customWidth="1"/>
    <col min="12543" max="12543" width="16.28515625" style="181" customWidth="1"/>
    <col min="12544" max="12544" width="11.5703125" style="181" customWidth="1"/>
    <col min="12545" max="12545" width="16.28515625" style="181" customWidth="1"/>
    <col min="12546" max="12547" width="0" style="181" hidden="1" customWidth="1"/>
    <col min="12548" max="12793" width="9.140625" style="181"/>
    <col min="12794" max="12794" width="4" style="181" customWidth="1"/>
    <col min="12795" max="12795" width="54.85546875" style="181" customWidth="1"/>
    <col min="12796" max="12796" width="106.7109375" style="181" customWidth="1"/>
    <col min="12797" max="12798" width="0" style="181" hidden="1" customWidth="1"/>
    <col min="12799" max="12799" width="16.28515625" style="181" customWidth="1"/>
    <col min="12800" max="12800" width="11.5703125" style="181" customWidth="1"/>
    <col min="12801" max="12801" width="16.28515625" style="181" customWidth="1"/>
    <col min="12802" max="12803" width="0" style="181" hidden="1" customWidth="1"/>
    <col min="12804" max="13049" width="9.140625" style="181"/>
    <col min="13050" max="13050" width="4" style="181" customWidth="1"/>
    <col min="13051" max="13051" width="54.85546875" style="181" customWidth="1"/>
    <col min="13052" max="13052" width="106.7109375" style="181" customWidth="1"/>
    <col min="13053" max="13054" width="0" style="181" hidden="1" customWidth="1"/>
    <col min="13055" max="13055" width="16.28515625" style="181" customWidth="1"/>
    <col min="13056" max="13056" width="11.5703125" style="181" customWidth="1"/>
    <col min="13057" max="13057" width="16.28515625" style="181" customWidth="1"/>
    <col min="13058" max="13059" width="0" style="181" hidden="1" customWidth="1"/>
    <col min="13060" max="13305" width="9.140625" style="181"/>
    <col min="13306" max="13306" width="4" style="181" customWidth="1"/>
    <col min="13307" max="13307" width="54.85546875" style="181" customWidth="1"/>
    <col min="13308" max="13308" width="106.7109375" style="181" customWidth="1"/>
    <col min="13309" max="13310" width="0" style="181" hidden="1" customWidth="1"/>
    <col min="13311" max="13311" width="16.28515625" style="181" customWidth="1"/>
    <col min="13312" max="13312" width="11.5703125" style="181" customWidth="1"/>
    <col min="13313" max="13313" width="16.28515625" style="181" customWidth="1"/>
    <col min="13314" max="13315" width="0" style="181" hidden="1" customWidth="1"/>
    <col min="13316" max="13561" width="9.140625" style="181"/>
    <col min="13562" max="13562" width="4" style="181" customWidth="1"/>
    <col min="13563" max="13563" width="54.85546875" style="181" customWidth="1"/>
    <col min="13564" max="13564" width="106.7109375" style="181" customWidth="1"/>
    <col min="13565" max="13566" width="0" style="181" hidden="1" customWidth="1"/>
    <col min="13567" max="13567" width="16.28515625" style="181" customWidth="1"/>
    <col min="13568" max="13568" width="11.5703125" style="181" customWidth="1"/>
    <col min="13569" max="13569" width="16.28515625" style="181" customWidth="1"/>
    <col min="13570" max="13571" width="0" style="181" hidden="1" customWidth="1"/>
    <col min="13572" max="13817" width="9.140625" style="181"/>
    <col min="13818" max="13818" width="4" style="181" customWidth="1"/>
    <col min="13819" max="13819" width="54.85546875" style="181" customWidth="1"/>
    <col min="13820" max="13820" width="106.7109375" style="181" customWidth="1"/>
    <col min="13821" max="13822" width="0" style="181" hidden="1" customWidth="1"/>
    <col min="13823" max="13823" width="16.28515625" style="181" customWidth="1"/>
    <col min="13824" max="13824" width="11.5703125" style="181" customWidth="1"/>
    <col min="13825" max="13825" width="16.28515625" style="181" customWidth="1"/>
    <col min="13826" max="13827" width="0" style="181" hidden="1" customWidth="1"/>
    <col min="13828" max="14073" width="9.140625" style="181"/>
    <col min="14074" max="14074" width="4" style="181" customWidth="1"/>
    <col min="14075" max="14075" width="54.85546875" style="181" customWidth="1"/>
    <col min="14076" max="14076" width="106.7109375" style="181" customWidth="1"/>
    <col min="14077" max="14078" width="0" style="181" hidden="1" customWidth="1"/>
    <col min="14079" max="14079" width="16.28515625" style="181" customWidth="1"/>
    <col min="14080" max="14080" width="11.5703125" style="181" customWidth="1"/>
    <col min="14081" max="14081" width="16.28515625" style="181" customWidth="1"/>
    <col min="14082" max="14083" width="0" style="181" hidden="1" customWidth="1"/>
    <col min="14084" max="14329" width="9.140625" style="181"/>
    <col min="14330" max="14330" width="4" style="181" customWidth="1"/>
    <col min="14331" max="14331" width="54.85546875" style="181" customWidth="1"/>
    <col min="14332" max="14332" width="106.7109375" style="181" customWidth="1"/>
    <col min="14333" max="14334" width="0" style="181" hidden="1" customWidth="1"/>
    <col min="14335" max="14335" width="16.28515625" style="181" customWidth="1"/>
    <col min="14336" max="14336" width="11.5703125" style="181" customWidth="1"/>
    <col min="14337" max="14337" width="16.28515625" style="181" customWidth="1"/>
    <col min="14338" max="14339" width="0" style="181" hidden="1" customWidth="1"/>
    <col min="14340" max="14585" width="9.140625" style="181"/>
    <col min="14586" max="14586" width="4" style="181" customWidth="1"/>
    <col min="14587" max="14587" width="54.85546875" style="181" customWidth="1"/>
    <col min="14588" max="14588" width="106.7109375" style="181" customWidth="1"/>
    <col min="14589" max="14590" width="0" style="181" hidden="1" customWidth="1"/>
    <col min="14591" max="14591" width="16.28515625" style="181" customWidth="1"/>
    <col min="14592" max="14592" width="11.5703125" style="181" customWidth="1"/>
    <col min="14593" max="14593" width="16.28515625" style="181" customWidth="1"/>
    <col min="14594" max="14595" width="0" style="181" hidden="1" customWidth="1"/>
    <col min="14596" max="14841" width="9.140625" style="181"/>
    <col min="14842" max="14842" width="4" style="181" customWidth="1"/>
    <col min="14843" max="14843" width="54.85546875" style="181" customWidth="1"/>
    <col min="14844" max="14844" width="106.7109375" style="181" customWidth="1"/>
    <col min="14845" max="14846" width="0" style="181" hidden="1" customWidth="1"/>
    <col min="14847" max="14847" width="16.28515625" style="181" customWidth="1"/>
    <col min="14848" max="14848" width="11.5703125" style="181" customWidth="1"/>
    <col min="14849" max="14849" width="16.28515625" style="181" customWidth="1"/>
    <col min="14850" max="14851" width="0" style="181" hidden="1" customWidth="1"/>
    <col min="14852" max="15097" width="9.140625" style="181"/>
    <col min="15098" max="15098" width="4" style="181" customWidth="1"/>
    <col min="15099" max="15099" width="54.85546875" style="181" customWidth="1"/>
    <col min="15100" max="15100" width="106.7109375" style="181" customWidth="1"/>
    <col min="15101" max="15102" width="0" style="181" hidden="1" customWidth="1"/>
    <col min="15103" max="15103" width="16.28515625" style="181" customWidth="1"/>
    <col min="15104" max="15104" width="11.5703125" style="181" customWidth="1"/>
    <col min="15105" max="15105" width="16.28515625" style="181" customWidth="1"/>
    <col min="15106" max="15107" width="0" style="181" hidden="1" customWidth="1"/>
    <col min="15108" max="15353" width="9.140625" style="181"/>
    <col min="15354" max="15354" width="4" style="181" customWidth="1"/>
    <col min="15355" max="15355" width="54.85546875" style="181" customWidth="1"/>
    <col min="15356" max="15356" width="106.7109375" style="181" customWidth="1"/>
    <col min="15357" max="15358" width="0" style="181" hidden="1" customWidth="1"/>
    <col min="15359" max="15359" width="16.28515625" style="181" customWidth="1"/>
    <col min="15360" max="15360" width="11.5703125" style="181" customWidth="1"/>
    <col min="15361" max="15361" width="16.28515625" style="181" customWidth="1"/>
    <col min="15362" max="15363" width="0" style="181" hidden="1" customWidth="1"/>
    <col min="15364" max="15609" width="9.140625" style="181"/>
    <col min="15610" max="15610" width="4" style="181" customWidth="1"/>
    <col min="15611" max="15611" width="54.85546875" style="181" customWidth="1"/>
    <col min="15612" max="15612" width="106.7109375" style="181" customWidth="1"/>
    <col min="15613" max="15614" width="0" style="181" hidden="1" customWidth="1"/>
    <col min="15615" max="15615" width="16.28515625" style="181" customWidth="1"/>
    <col min="15616" max="15616" width="11.5703125" style="181" customWidth="1"/>
    <col min="15617" max="15617" width="16.28515625" style="181" customWidth="1"/>
    <col min="15618" max="15619" width="0" style="181" hidden="1" customWidth="1"/>
    <col min="15620" max="15865" width="9.140625" style="181"/>
    <col min="15866" max="15866" width="4" style="181" customWidth="1"/>
    <col min="15867" max="15867" width="54.85546875" style="181" customWidth="1"/>
    <col min="15868" max="15868" width="106.7109375" style="181" customWidth="1"/>
    <col min="15869" max="15870" width="0" style="181" hidden="1" customWidth="1"/>
    <col min="15871" max="15871" width="16.28515625" style="181" customWidth="1"/>
    <col min="15872" max="15872" width="11.5703125" style="181" customWidth="1"/>
    <col min="15873" max="15873" width="16.28515625" style="181" customWidth="1"/>
    <col min="15874" max="15875" width="0" style="181" hidden="1" customWidth="1"/>
    <col min="15876" max="16121" width="9.140625" style="181"/>
    <col min="16122" max="16122" width="4" style="181" customWidth="1"/>
    <col min="16123" max="16123" width="54.85546875" style="181" customWidth="1"/>
    <col min="16124" max="16124" width="106.7109375" style="181" customWidth="1"/>
    <col min="16125" max="16126" width="0" style="181" hidden="1" customWidth="1"/>
    <col min="16127" max="16127" width="16.28515625" style="181" customWidth="1"/>
    <col min="16128" max="16128" width="11.5703125" style="181" customWidth="1"/>
    <col min="16129" max="16129" width="16.28515625" style="181" customWidth="1"/>
    <col min="16130" max="16131" width="0" style="181" hidden="1" customWidth="1"/>
    <col min="16132" max="16384" width="9.140625" style="181"/>
  </cols>
  <sheetData>
    <row r="1" spans="1:6" ht="12" customHeight="1" x14ac:dyDescent="0.2">
      <c r="A1" s="449" t="s">
        <v>776</v>
      </c>
      <c r="B1" s="449"/>
      <c r="C1" s="449"/>
      <c r="D1" s="449"/>
      <c r="E1" s="377"/>
      <c r="F1" s="377"/>
    </row>
    <row r="2" spans="1:6" ht="12" customHeight="1" x14ac:dyDescent="0.2">
      <c r="A2" s="449" t="s">
        <v>105</v>
      </c>
      <c r="B2" s="449"/>
      <c r="C2" s="449"/>
      <c r="D2" s="449"/>
      <c r="E2" s="377"/>
      <c r="F2" s="377"/>
    </row>
    <row r="3" spans="1:6" ht="12" customHeight="1" x14ac:dyDescent="0.2">
      <c r="A3" s="449" t="s">
        <v>106</v>
      </c>
      <c r="B3" s="449"/>
      <c r="C3" s="449"/>
      <c r="D3" s="449"/>
      <c r="E3" s="377"/>
      <c r="F3" s="377"/>
    </row>
    <row r="4" spans="1:6" ht="12" customHeight="1" x14ac:dyDescent="0.2">
      <c r="A4" s="449" t="s">
        <v>107</v>
      </c>
      <c r="B4" s="449"/>
      <c r="C4" s="449"/>
      <c r="D4" s="449"/>
      <c r="E4" s="377"/>
      <c r="F4" s="377"/>
    </row>
    <row r="5" spans="1:6" ht="12" customHeight="1" x14ac:dyDescent="0.2">
      <c r="A5" s="449" t="s">
        <v>502</v>
      </c>
      <c r="B5" s="449"/>
      <c r="C5" s="449"/>
      <c r="D5" s="449"/>
      <c r="E5" s="377"/>
      <c r="F5" s="377"/>
    </row>
    <row r="6" spans="1:6" ht="12" customHeight="1" x14ac:dyDescent="0.2">
      <c r="A6" s="449" t="s">
        <v>108</v>
      </c>
      <c r="B6" s="449"/>
      <c r="C6" s="449"/>
      <c r="D6" s="449"/>
      <c r="E6" s="377"/>
      <c r="F6" s="377"/>
    </row>
    <row r="7" spans="1:6" ht="12" customHeight="1" x14ac:dyDescent="0.2">
      <c r="A7" s="449" t="s">
        <v>107</v>
      </c>
      <c r="B7" s="449"/>
      <c r="C7" s="449"/>
      <c r="D7" s="449"/>
      <c r="E7" s="377"/>
      <c r="F7" s="377"/>
    </row>
    <row r="8" spans="1:6" ht="12" customHeight="1" x14ac:dyDescent="0.2">
      <c r="A8" s="449" t="s">
        <v>503</v>
      </c>
      <c r="B8" s="449"/>
      <c r="C8" s="449"/>
      <c r="D8" s="449"/>
      <c r="E8" s="377"/>
      <c r="F8" s="377"/>
    </row>
    <row r="9" spans="1:6" ht="12.75" x14ac:dyDescent="0.2">
      <c r="A9" s="454"/>
      <c r="B9" s="454"/>
      <c r="C9" s="454"/>
      <c r="D9" s="378"/>
    </row>
    <row r="10" spans="1:6" ht="12.75" x14ac:dyDescent="0.2">
      <c r="A10" s="452"/>
      <c r="B10" s="452"/>
      <c r="C10" s="452"/>
      <c r="D10" s="452"/>
    </row>
    <row r="11" spans="1:6" x14ac:dyDescent="0.2">
      <c r="A11" s="453" t="s">
        <v>511</v>
      </c>
      <c r="B11" s="453"/>
      <c r="C11" s="453"/>
      <c r="D11" s="453"/>
    </row>
    <row r="12" spans="1:6" x14ac:dyDescent="0.2">
      <c r="A12" s="453" t="s">
        <v>559</v>
      </c>
      <c r="B12" s="453"/>
      <c r="C12" s="453"/>
      <c r="D12" s="453"/>
    </row>
    <row r="13" spans="1:6" x14ac:dyDescent="0.2">
      <c r="A13" s="182"/>
      <c r="B13" s="182"/>
      <c r="C13" s="464"/>
      <c r="D13" s="464"/>
    </row>
    <row r="14" spans="1:6" ht="12" customHeight="1" x14ac:dyDescent="0.2">
      <c r="A14" s="465" t="s">
        <v>512</v>
      </c>
      <c r="B14" s="465" t="s">
        <v>513</v>
      </c>
      <c r="C14" s="465" t="s">
        <v>514</v>
      </c>
      <c r="D14" s="466" t="s">
        <v>560</v>
      </c>
    </row>
    <row r="15" spans="1:6" s="183" customFormat="1" ht="16.5" customHeight="1" x14ac:dyDescent="0.2">
      <c r="A15" s="465"/>
      <c r="B15" s="465"/>
      <c r="C15" s="465"/>
      <c r="D15" s="467" t="s">
        <v>515</v>
      </c>
    </row>
    <row r="16" spans="1:6" x14ac:dyDescent="0.2">
      <c r="A16" s="461" t="s">
        <v>516</v>
      </c>
      <c r="B16" s="462"/>
      <c r="C16" s="463"/>
      <c r="D16" s="184">
        <f>D17+D24+D30+D35+D39+D42+D43+D44+D45+D48+D49+D50+D51+D52+D53+D54+D55+D56+D57</f>
        <v>459565.10000000003</v>
      </c>
      <c r="E16" s="181">
        <v>459905.1</v>
      </c>
      <c r="F16" s="371">
        <f>E16-D16</f>
        <v>339.99999999994179</v>
      </c>
    </row>
    <row r="17" spans="1:4" ht="33.75" customHeight="1" x14ac:dyDescent="0.2">
      <c r="A17" s="458">
        <v>1</v>
      </c>
      <c r="B17" s="455" t="s">
        <v>239</v>
      </c>
      <c r="C17" s="185" t="s">
        <v>517</v>
      </c>
      <c r="D17" s="186">
        <f>D18+D19+D20+D21+D22+D23</f>
        <v>340074.5</v>
      </c>
    </row>
    <row r="18" spans="1:4" x14ac:dyDescent="0.2">
      <c r="A18" s="459"/>
      <c r="B18" s="456"/>
      <c r="C18" s="187" t="s">
        <v>518</v>
      </c>
      <c r="D18" s="188">
        <v>84004.7</v>
      </c>
    </row>
    <row r="19" spans="1:4" x14ac:dyDescent="0.2">
      <c r="A19" s="459"/>
      <c r="B19" s="456"/>
      <c r="C19" s="187" t="s">
        <v>519</v>
      </c>
      <c r="D19" s="188">
        <v>195375.1</v>
      </c>
    </row>
    <row r="20" spans="1:4" x14ac:dyDescent="0.2">
      <c r="A20" s="459"/>
      <c r="B20" s="456"/>
      <c r="C20" s="187" t="s">
        <v>520</v>
      </c>
      <c r="D20" s="188">
        <v>46871.4</v>
      </c>
    </row>
    <row r="21" spans="1:4" x14ac:dyDescent="0.2">
      <c r="A21" s="459"/>
      <c r="B21" s="456"/>
      <c r="C21" s="187" t="s">
        <v>521</v>
      </c>
      <c r="D21" s="188">
        <v>2341.9</v>
      </c>
    </row>
    <row r="22" spans="1:4" ht="22.5" x14ac:dyDescent="0.2">
      <c r="A22" s="459"/>
      <c r="B22" s="456"/>
      <c r="C22" s="187" t="s">
        <v>522</v>
      </c>
      <c r="D22" s="188">
        <v>1558.3</v>
      </c>
    </row>
    <row r="23" spans="1:4" ht="22.5" x14ac:dyDescent="0.2">
      <c r="A23" s="460"/>
      <c r="B23" s="457"/>
      <c r="C23" s="187" t="s">
        <v>523</v>
      </c>
      <c r="D23" s="188">
        <v>9923.1</v>
      </c>
    </row>
    <row r="24" spans="1:4" ht="33.75" customHeight="1" x14ac:dyDescent="0.2">
      <c r="A24" s="458">
        <v>2</v>
      </c>
      <c r="B24" s="455" t="s">
        <v>524</v>
      </c>
      <c r="C24" s="189" t="s">
        <v>525</v>
      </c>
      <c r="D24" s="190">
        <f>D25+D26+D27+D28+D29</f>
        <v>39108.199999999997</v>
      </c>
    </row>
    <row r="25" spans="1:4" x14ac:dyDescent="0.2">
      <c r="A25" s="459"/>
      <c r="B25" s="456"/>
      <c r="C25" s="122" t="s">
        <v>526</v>
      </c>
      <c r="D25" s="191">
        <v>10699.4</v>
      </c>
    </row>
    <row r="26" spans="1:4" x14ac:dyDescent="0.2">
      <c r="A26" s="459"/>
      <c r="B26" s="456"/>
      <c r="C26" s="122" t="s">
        <v>527</v>
      </c>
      <c r="D26" s="191">
        <v>17777.5</v>
      </c>
    </row>
    <row r="27" spans="1:4" hidden="1" x14ac:dyDescent="0.2">
      <c r="A27" s="459"/>
      <c r="B27" s="456"/>
      <c r="C27" s="122" t="s">
        <v>528</v>
      </c>
      <c r="D27" s="191"/>
    </row>
    <row r="28" spans="1:4" x14ac:dyDescent="0.2">
      <c r="A28" s="459"/>
      <c r="B28" s="456"/>
      <c r="C28" s="122" t="s">
        <v>529</v>
      </c>
      <c r="D28" s="191">
        <v>220</v>
      </c>
    </row>
    <row r="29" spans="1:4" x14ac:dyDescent="0.2">
      <c r="A29" s="460"/>
      <c r="B29" s="457"/>
      <c r="C29" s="122" t="s">
        <v>530</v>
      </c>
      <c r="D29" s="191">
        <v>10411.299999999999</v>
      </c>
    </row>
    <row r="30" spans="1:4" ht="22.5" customHeight="1" x14ac:dyDescent="0.2">
      <c r="A30" s="458">
        <v>3</v>
      </c>
      <c r="B30" s="455" t="s">
        <v>531</v>
      </c>
      <c r="C30" s="189" t="s">
        <v>532</v>
      </c>
      <c r="D30" s="190">
        <f>D31+D32+D33+D34</f>
        <v>2969.9</v>
      </c>
    </row>
    <row r="31" spans="1:4" x14ac:dyDescent="0.2">
      <c r="A31" s="459"/>
      <c r="B31" s="456"/>
      <c r="C31" s="192" t="s">
        <v>533</v>
      </c>
      <c r="D31" s="191">
        <v>440</v>
      </c>
    </row>
    <row r="32" spans="1:4" x14ac:dyDescent="0.2">
      <c r="A32" s="459"/>
      <c r="B32" s="456"/>
      <c r="C32" s="192" t="s">
        <v>534</v>
      </c>
      <c r="D32" s="191">
        <v>66.2</v>
      </c>
    </row>
    <row r="33" spans="1:4" x14ac:dyDescent="0.2">
      <c r="A33" s="459"/>
      <c r="B33" s="456"/>
      <c r="C33" s="192" t="s">
        <v>535</v>
      </c>
      <c r="D33" s="191">
        <v>193.8</v>
      </c>
    </row>
    <row r="34" spans="1:4" x14ac:dyDescent="0.2">
      <c r="A34" s="460"/>
      <c r="B34" s="457"/>
      <c r="C34" s="192" t="s">
        <v>536</v>
      </c>
      <c r="D34" s="191">
        <v>2269.9</v>
      </c>
    </row>
    <row r="35" spans="1:4" ht="33.75" customHeight="1" x14ac:dyDescent="0.2">
      <c r="A35" s="458">
        <v>4</v>
      </c>
      <c r="B35" s="455" t="s">
        <v>180</v>
      </c>
      <c r="C35" s="193" t="s">
        <v>537</v>
      </c>
      <c r="D35" s="194">
        <f>D36+D37+D38</f>
        <v>65286.400000000001</v>
      </c>
    </row>
    <row r="36" spans="1:4" x14ac:dyDescent="0.2">
      <c r="A36" s="459"/>
      <c r="B36" s="456"/>
      <c r="C36" s="192" t="s">
        <v>538</v>
      </c>
      <c r="D36" s="195">
        <v>53405.1</v>
      </c>
    </row>
    <row r="37" spans="1:4" ht="22.5" x14ac:dyDescent="0.2">
      <c r="A37" s="459"/>
      <c r="B37" s="456"/>
      <c r="C37" s="192" t="s">
        <v>539</v>
      </c>
      <c r="D37" s="195">
        <v>9286.7000000000007</v>
      </c>
    </row>
    <row r="38" spans="1:4" x14ac:dyDescent="0.2">
      <c r="A38" s="460"/>
      <c r="B38" s="457"/>
      <c r="C38" s="192" t="s">
        <v>540</v>
      </c>
      <c r="D38" s="195">
        <v>2594.6</v>
      </c>
    </row>
    <row r="39" spans="1:4" x14ac:dyDescent="0.2">
      <c r="A39" s="458">
        <v>5</v>
      </c>
      <c r="B39" s="455" t="s">
        <v>541</v>
      </c>
      <c r="C39" s="196" t="s">
        <v>542</v>
      </c>
      <c r="D39" s="190">
        <f>D40+D41</f>
        <v>4626.1000000000004</v>
      </c>
    </row>
    <row r="40" spans="1:4" ht="22.5" x14ac:dyDescent="0.2">
      <c r="A40" s="459"/>
      <c r="B40" s="456"/>
      <c r="C40" s="123" t="s">
        <v>543</v>
      </c>
      <c r="D40" s="191">
        <v>4606.1000000000004</v>
      </c>
    </row>
    <row r="41" spans="1:4" x14ac:dyDescent="0.2">
      <c r="A41" s="460"/>
      <c r="B41" s="457"/>
      <c r="C41" s="123" t="s">
        <v>544</v>
      </c>
      <c r="D41" s="191">
        <v>20</v>
      </c>
    </row>
    <row r="42" spans="1:4" ht="22.5" x14ac:dyDescent="0.2">
      <c r="A42" s="197">
        <v>6</v>
      </c>
      <c r="B42" s="198" t="s">
        <v>545</v>
      </c>
      <c r="C42" s="199" t="s">
        <v>546</v>
      </c>
      <c r="D42" s="195">
        <v>200</v>
      </c>
    </row>
    <row r="43" spans="1:4" ht="22.5" x14ac:dyDescent="0.2">
      <c r="A43" s="197">
        <v>7</v>
      </c>
      <c r="B43" s="198" t="s">
        <v>545</v>
      </c>
      <c r="C43" s="200" t="s">
        <v>547</v>
      </c>
      <c r="D43" s="195">
        <v>350</v>
      </c>
    </row>
    <row r="44" spans="1:4" ht="22.5" x14ac:dyDescent="0.2">
      <c r="A44" s="197">
        <v>8</v>
      </c>
      <c r="B44" s="198" t="s">
        <v>545</v>
      </c>
      <c r="C44" s="201" t="s">
        <v>548</v>
      </c>
      <c r="D44" s="191">
        <v>300</v>
      </c>
    </row>
    <row r="45" spans="1:4" ht="24" x14ac:dyDescent="0.2">
      <c r="A45" s="458">
        <v>9</v>
      </c>
      <c r="B45" s="455" t="s">
        <v>545</v>
      </c>
      <c r="C45" s="202" t="s">
        <v>562</v>
      </c>
      <c r="D45" s="191">
        <f>D46+D47</f>
        <v>130</v>
      </c>
    </row>
    <row r="46" spans="1:4" x14ac:dyDescent="0.2">
      <c r="A46" s="459"/>
      <c r="B46" s="456"/>
      <c r="C46" s="209" t="s">
        <v>561</v>
      </c>
      <c r="D46" s="191">
        <v>100</v>
      </c>
    </row>
    <row r="47" spans="1:4" x14ac:dyDescent="0.2">
      <c r="A47" s="460"/>
      <c r="B47" s="457"/>
      <c r="C47" s="202" t="s">
        <v>563</v>
      </c>
      <c r="D47" s="191">
        <v>30</v>
      </c>
    </row>
    <row r="48" spans="1:4" ht="22.5" x14ac:dyDescent="0.2">
      <c r="A48" s="197">
        <v>10</v>
      </c>
      <c r="B48" s="198" t="s">
        <v>545</v>
      </c>
      <c r="C48" s="123" t="s">
        <v>549</v>
      </c>
      <c r="D48" s="191">
        <v>61</v>
      </c>
    </row>
    <row r="49" spans="1:4" ht="22.5" x14ac:dyDescent="0.2">
      <c r="A49" s="197">
        <v>11</v>
      </c>
      <c r="B49" s="198" t="s">
        <v>545</v>
      </c>
      <c r="C49" s="200" t="s">
        <v>550</v>
      </c>
      <c r="D49" s="191">
        <v>60</v>
      </c>
    </row>
    <row r="50" spans="1:4" ht="22.5" x14ac:dyDescent="0.2">
      <c r="A50" s="197">
        <v>12</v>
      </c>
      <c r="B50" s="198" t="s">
        <v>545</v>
      </c>
      <c r="C50" s="199" t="s">
        <v>551</v>
      </c>
      <c r="D50" s="191">
        <v>300</v>
      </c>
    </row>
    <row r="51" spans="1:4" ht="22.5" x14ac:dyDescent="0.2">
      <c r="A51" s="197">
        <v>13</v>
      </c>
      <c r="B51" s="198" t="s">
        <v>545</v>
      </c>
      <c r="C51" s="202" t="s">
        <v>552</v>
      </c>
      <c r="D51" s="191">
        <v>100</v>
      </c>
    </row>
    <row r="52" spans="1:4" ht="22.5" x14ac:dyDescent="0.2">
      <c r="A52" s="197">
        <v>14</v>
      </c>
      <c r="B52" s="198" t="s">
        <v>545</v>
      </c>
      <c r="C52" s="202" t="s">
        <v>553</v>
      </c>
      <c r="D52" s="191">
        <v>3809</v>
      </c>
    </row>
    <row r="53" spans="1:4" ht="24" x14ac:dyDescent="0.2">
      <c r="A53" s="197">
        <v>15</v>
      </c>
      <c r="B53" s="198" t="s">
        <v>545</v>
      </c>
      <c r="C53" s="202" t="s">
        <v>554</v>
      </c>
      <c r="D53" s="191">
        <v>700</v>
      </c>
    </row>
    <row r="54" spans="1:4" ht="22.5" x14ac:dyDescent="0.2">
      <c r="A54" s="197">
        <v>16</v>
      </c>
      <c r="B54" s="198" t="s">
        <v>545</v>
      </c>
      <c r="C54" s="199" t="s">
        <v>555</v>
      </c>
      <c r="D54" s="195">
        <v>400</v>
      </c>
    </row>
    <row r="55" spans="1:4" ht="24" x14ac:dyDescent="0.2">
      <c r="A55" s="197">
        <v>17</v>
      </c>
      <c r="B55" s="198" t="s">
        <v>545</v>
      </c>
      <c r="C55" s="199" t="s">
        <v>556</v>
      </c>
      <c r="D55" s="203">
        <v>40</v>
      </c>
    </row>
    <row r="56" spans="1:4" ht="22.5" x14ac:dyDescent="0.2">
      <c r="A56" s="197">
        <v>18</v>
      </c>
      <c r="B56" s="204" t="s">
        <v>545</v>
      </c>
      <c r="C56" s="205" t="s">
        <v>557</v>
      </c>
      <c r="D56" s="203">
        <v>1000</v>
      </c>
    </row>
    <row r="57" spans="1:4" ht="22.5" customHeight="1" x14ac:dyDescent="0.2">
      <c r="A57" s="197">
        <v>19</v>
      </c>
      <c r="B57" s="198" t="s">
        <v>545</v>
      </c>
      <c r="C57" s="206" t="s">
        <v>558</v>
      </c>
      <c r="D57" s="203">
        <v>50</v>
      </c>
    </row>
    <row r="61" spans="1:4" x14ac:dyDescent="0.2">
      <c r="C61" s="208"/>
    </row>
  </sheetData>
  <mergeCells count="30">
    <mergeCell ref="A12:D12"/>
    <mergeCell ref="A16:C16"/>
    <mergeCell ref="C13:D13"/>
    <mergeCell ref="A14:A15"/>
    <mergeCell ref="B14:B15"/>
    <mergeCell ref="C14:C15"/>
    <mergeCell ref="D14:D15"/>
    <mergeCell ref="B45:B47"/>
    <mergeCell ref="A45:A47"/>
    <mergeCell ref="A17:A23"/>
    <mergeCell ref="B17:B23"/>
    <mergeCell ref="A24:A29"/>
    <mergeCell ref="B24:B29"/>
    <mergeCell ref="A30:A34"/>
    <mergeCell ref="B30:B34"/>
    <mergeCell ref="A35:A38"/>
    <mergeCell ref="B35:B38"/>
    <mergeCell ref="A39:A41"/>
    <mergeCell ref="B39:B41"/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1:D11"/>
    <mergeCell ref="A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14</vt:i4>
      </vt:variant>
    </vt:vector>
  </HeadingPairs>
  <TitlesOfParts>
    <vt:vector size="34" baseType="lpstr">
      <vt:lpstr>Пр 1 норм</vt:lpstr>
      <vt:lpstr>Пр 2 доход на 2018г</vt:lpstr>
      <vt:lpstr>Пр 3 доход на 2019-2020гг</vt:lpstr>
      <vt:lpstr>Пр 4 админ. доход</vt:lpstr>
      <vt:lpstr>Пр 5 функ 2018г</vt:lpstr>
      <vt:lpstr>Пр 6 функ</vt:lpstr>
      <vt:lpstr>ПР 7 ведом</vt:lpstr>
      <vt:lpstr>ПР 8 ведом</vt:lpstr>
      <vt:lpstr>ПР 9 КЦП</vt:lpstr>
      <vt:lpstr>ПР 10 КЦП</vt:lpstr>
      <vt:lpstr>Пр 11 райФПП</vt:lpstr>
      <vt:lpstr>Пр 14 райФПП</vt:lpstr>
      <vt:lpstr>Пр 15 сбалан</vt:lpstr>
      <vt:lpstr>Пр 16 сбалан</vt:lpstr>
      <vt:lpstr>Пр 17 Алк</vt:lpstr>
      <vt:lpstr>Пр 18 Алк</vt:lpstr>
      <vt:lpstr>Пр 19 Вус</vt:lpstr>
      <vt:lpstr>Пр 20 Вус</vt:lpstr>
      <vt:lpstr>Пр 21 комм</vt:lpstr>
      <vt:lpstr>Пр 22 комм</vt:lpstr>
      <vt:lpstr>'ПР 10 КЦП'!Область_печати</vt:lpstr>
      <vt:lpstr>'Пр 11 райФПП'!Область_печати</vt:lpstr>
      <vt:lpstr>'Пр 17 Алк'!Область_печати</vt:lpstr>
      <vt:lpstr>'Пр 18 Алк'!Область_печати</vt:lpstr>
      <vt:lpstr>'Пр 19 Вус'!Область_печати</vt:lpstr>
      <vt:lpstr>'Пр 2 доход на 2018г'!Область_печати</vt:lpstr>
      <vt:lpstr>'Пр 20 Вус'!Область_печати</vt:lpstr>
      <vt:lpstr>'Пр 3 доход на 2019-2020гг'!Область_печати</vt:lpstr>
      <vt:lpstr>'Пр 4 админ. доход'!Область_печати</vt:lpstr>
      <vt:lpstr>'Пр 5 функ 2018г'!Область_печати</vt:lpstr>
      <vt:lpstr>'Пр 6 функ'!Область_печати</vt:lpstr>
      <vt:lpstr>'ПР 7 ведом'!Область_печати</vt:lpstr>
      <vt:lpstr>'ПР 8 ведом'!Область_печати</vt:lpstr>
      <vt:lpstr>'ПР 9 КЦП'!Область_печати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НачФинУпр</cp:lastModifiedBy>
  <cp:lastPrinted>2017-11-22T02:40:29Z</cp:lastPrinted>
  <dcterms:created xsi:type="dcterms:W3CDTF">2017-11-07T03:09:50Z</dcterms:created>
  <dcterms:modified xsi:type="dcterms:W3CDTF">2017-11-24T07:36:20Z</dcterms:modified>
</cp:coreProperties>
</file>